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есії VІI скликання\сесія VII скликання\сесія 2019 VII скликання\92 (позачергова) сесія 23.12.2019\КОПІЇ\фу\"/>
    </mc:Choice>
  </mc:AlternateContent>
  <xr:revisionPtr revIDLastSave="0" documentId="8_{37D16B3C-12CC-4EB5-B89C-5A10BEE32663}" xr6:coauthVersionLast="45" xr6:coauthVersionMax="45" xr10:uidLastSave="{00000000-0000-0000-0000-000000000000}"/>
  <bookViews>
    <workbookView xWindow="-120" yWindow="-120" windowWidth="29040" windowHeight="15840" activeTab="4"/>
  </bookViews>
  <sheets>
    <sheet name="дод.1" sheetId="26" r:id="rId1"/>
    <sheet name="дод.2" sheetId="28" r:id="rId2"/>
    <sheet name="дод.3" sheetId="19" r:id="rId3"/>
    <sheet name="дод.4" sheetId="22" r:id="rId4"/>
    <sheet name="дод.5" sheetId="23" r:id="rId5"/>
    <sheet name="дод.6" sheetId="27" r:id="rId6"/>
  </sheets>
  <externalReferences>
    <externalReference r:id="rId7"/>
  </externalReferences>
  <definedNames>
    <definedName name="_xlnm._FilterDatabase" localSheetId="0" hidden="1">дод.1!$A$7:$F$122</definedName>
    <definedName name="_xlnm.Print_Titles" localSheetId="0">дод.1!$A:$E,дод.1!$7:$8</definedName>
    <definedName name="_xlnm.Print_Titles" localSheetId="2">дод.3!$6:$9</definedName>
    <definedName name="_xlnm.Print_Titles" localSheetId="5">дод.6!$6:$8</definedName>
    <definedName name="_xlnm.Print_Area" localSheetId="0">дод.1!$A$1:$F$127</definedName>
    <definedName name="_xlnm.Print_Area" localSheetId="1">дод.2!$A$1:$F$28</definedName>
    <definedName name="_xlnm.Print_Area" localSheetId="2">дод.3!$A$1:$P$107</definedName>
    <definedName name="_xlnm.Print_Area" localSheetId="3">дод.4!$A$1:$P$20</definedName>
    <definedName name="_xlnm.Print_Area" localSheetId="4">дод.5!$A$1:$J$53</definedName>
    <definedName name="_xlnm.Print_Area" localSheetId="5">дод.6!$A$1:$J$100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22" l="1"/>
  <c r="E17" i="22"/>
  <c r="F17" i="22"/>
  <c r="G74" i="27"/>
  <c r="G67" i="27"/>
  <c r="F34" i="19"/>
  <c r="F14" i="19"/>
  <c r="E14" i="19" s="1"/>
  <c r="P14" i="19" s="1"/>
  <c r="G13" i="19"/>
  <c r="L87" i="19"/>
  <c r="J87" i="19"/>
  <c r="F87" i="19"/>
  <c r="G22" i="27"/>
  <c r="G23" i="27"/>
  <c r="G24" i="27"/>
  <c r="G25" i="27"/>
  <c r="G26" i="27"/>
  <c r="G11" i="27"/>
  <c r="G12" i="27"/>
  <c r="G29" i="27"/>
  <c r="I64" i="27"/>
  <c r="H64" i="27"/>
  <c r="H63" i="27" s="1"/>
  <c r="G64" i="27"/>
  <c r="G63" i="27" s="1"/>
  <c r="H55" i="27"/>
  <c r="H49" i="27"/>
  <c r="H48" i="27" s="1"/>
  <c r="H96" i="27" s="1"/>
  <c r="I49" i="27"/>
  <c r="J49" i="27"/>
  <c r="J10" i="27"/>
  <c r="J9" i="27" s="1"/>
  <c r="I10" i="27"/>
  <c r="I9" i="27" s="1"/>
  <c r="I63" i="27"/>
  <c r="H10" i="27"/>
  <c r="I35" i="27"/>
  <c r="I34" i="27" s="1"/>
  <c r="J35" i="27"/>
  <c r="H35" i="27"/>
  <c r="G39" i="27"/>
  <c r="F45" i="19"/>
  <c r="F42" i="19" s="1"/>
  <c r="F41" i="19" s="1"/>
  <c r="F44" i="19"/>
  <c r="F47" i="19"/>
  <c r="F46" i="19"/>
  <c r="E46" i="19" s="1"/>
  <c r="F48" i="19"/>
  <c r="E48" i="19" s="1"/>
  <c r="F43" i="19"/>
  <c r="F51" i="19"/>
  <c r="F30" i="19"/>
  <c r="F15" i="19"/>
  <c r="E15" i="19" s="1"/>
  <c r="P15" i="19" s="1"/>
  <c r="G13" i="27"/>
  <c r="H41" i="27"/>
  <c r="H40" i="27"/>
  <c r="I41" i="27"/>
  <c r="J41" i="27"/>
  <c r="J40" i="27"/>
  <c r="G42" i="27"/>
  <c r="G41" i="27" s="1"/>
  <c r="G40" i="27" s="1"/>
  <c r="G43" i="27"/>
  <c r="G44" i="27"/>
  <c r="G45" i="27"/>
  <c r="G46" i="27"/>
  <c r="G47" i="27"/>
  <c r="G73" i="27"/>
  <c r="F54" i="19"/>
  <c r="F61" i="19"/>
  <c r="F57" i="19"/>
  <c r="E57" i="19" s="1"/>
  <c r="H9" i="27"/>
  <c r="H34" i="27"/>
  <c r="H54" i="27"/>
  <c r="H77" i="27"/>
  <c r="I40" i="27"/>
  <c r="I48" i="27"/>
  <c r="I55" i="27"/>
  <c r="J34" i="27"/>
  <c r="J48" i="27"/>
  <c r="J55" i="27"/>
  <c r="J54" i="27" s="1"/>
  <c r="J64" i="27"/>
  <c r="J63" i="27"/>
  <c r="G27" i="27"/>
  <c r="G14" i="27"/>
  <c r="G15" i="27"/>
  <c r="G16" i="27"/>
  <c r="G17" i="27"/>
  <c r="G10" i="27" s="1"/>
  <c r="G9" i="27" s="1"/>
  <c r="G18" i="27"/>
  <c r="G19" i="27"/>
  <c r="G20" i="27"/>
  <c r="G21" i="27"/>
  <c r="G28" i="27"/>
  <c r="G30" i="27"/>
  <c r="G31" i="27"/>
  <c r="G36" i="27"/>
  <c r="G35" i="27" s="1"/>
  <c r="G34" i="27" s="1"/>
  <c r="G37" i="27"/>
  <c r="G50" i="27"/>
  <c r="G51" i="27"/>
  <c r="G52" i="27"/>
  <c r="G49" i="27" s="1"/>
  <c r="G48" i="27" s="1"/>
  <c r="G53" i="27"/>
  <c r="G77" i="27"/>
  <c r="G62" i="27"/>
  <c r="F82" i="19"/>
  <c r="F81" i="19"/>
  <c r="E81" i="19"/>
  <c r="P81" i="19"/>
  <c r="F79" i="19"/>
  <c r="F74" i="19"/>
  <c r="E74" i="19"/>
  <c r="P74" i="19" s="1"/>
  <c r="F78" i="19"/>
  <c r="E78" i="19" s="1"/>
  <c r="P78" i="19" s="1"/>
  <c r="H78" i="27"/>
  <c r="G78" i="27" s="1"/>
  <c r="G79" i="27"/>
  <c r="G73" i="19"/>
  <c r="H73" i="19"/>
  <c r="I73" i="19"/>
  <c r="I72" i="19" s="1"/>
  <c r="K73" i="19"/>
  <c r="L73" i="19"/>
  <c r="M73" i="19"/>
  <c r="N73" i="19"/>
  <c r="O73" i="19"/>
  <c r="O72" i="19" s="1"/>
  <c r="E82" i="19"/>
  <c r="P82" i="19" s="1"/>
  <c r="J78" i="19"/>
  <c r="J74" i="19"/>
  <c r="E79" i="19"/>
  <c r="J79" i="19"/>
  <c r="P79" i="19"/>
  <c r="F92" i="19"/>
  <c r="E92" i="19" s="1"/>
  <c r="F93" i="19"/>
  <c r="F100" i="19"/>
  <c r="F67" i="19"/>
  <c r="E67" i="19" s="1"/>
  <c r="P67" i="19" s="1"/>
  <c r="F69" i="19"/>
  <c r="F70" i="19"/>
  <c r="E70" i="19"/>
  <c r="P70" i="19" s="1"/>
  <c r="F65" i="19"/>
  <c r="F64" i="19"/>
  <c r="G63" i="19"/>
  <c r="H63" i="19"/>
  <c r="H62" i="19" s="1"/>
  <c r="I63" i="19"/>
  <c r="K63" i="19"/>
  <c r="M63" i="19"/>
  <c r="N63" i="19"/>
  <c r="N62" i="19" s="1"/>
  <c r="O63" i="19"/>
  <c r="E64" i="19"/>
  <c r="L65" i="19"/>
  <c r="J65" i="19"/>
  <c r="E69" i="19"/>
  <c r="L69" i="19"/>
  <c r="J69" i="19" s="1"/>
  <c r="P69" i="19" s="1"/>
  <c r="F71" i="19"/>
  <c r="F53" i="19"/>
  <c r="G53" i="19"/>
  <c r="G52" i="19" s="1"/>
  <c r="H53" i="19"/>
  <c r="I53" i="19"/>
  <c r="K53" i="19"/>
  <c r="M53" i="19"/>
  <c r="M52" i="19" s="1"/>
  <c r="N53" i="19"/>
  <c r="O53" i="19"/>
  <c r="E61" i="19"/>
  <c r="P61" i="19" s="1"/>
  <c r="E54" i="19"/>
  <c r="E100" i="19"/>
  <c r="E99" i="19" s="1"/>
  <c r="E98" i="19" s="1"/>
  <c r="G99" i="19"/>
  <c r="G98" i="19" s="1"/>
  <c r="H99" i="19"/>
  <c r="I99" i="19"/>
  <c r="K99" i="19"/>
  <c r="K98" i="19" s="1"/>
  <c r="M99" i="19"/>
  <c r="M98" i="19" s="1"/>
  <c r="N99" i="19"/>
  <c r="O99" i="19"/>
  <c r="F101" i="19"/>
  <c r="E101" i="19" s="1"/>
  <c r="P101" i="19" s="1"/>
  <c r="E93" i="19"/>
  <c r="P93" i="19" s="1"/>
  <c r="F94" i="19"/>
  <c r="E94" i="19"/>
  <c r="P94" i="19" s="1"/>
  <c r="E71" i="19"/>
  <c r="P71" i="19" s="1"/>
  <c r="E30" i="19"/>
  <c r="P30" i="19" s="1"/>
  <c r="E51" i="19"/>
  <c r="P51" i="19" s="1"/>
  <c r="F23" i="19"/>
  <c r="E23" i="19"/>
  <c r="P23" i="19" s="1"/>
  <c r="F24" i="19"/>
  <c r="E24" i="19"/>
  <c r="F25" i="19"/>
  <c r="E25" i="19" s="1"/>
  <c r="P25" i="19" s="1"/>
  <c r="J25" i="19"/>
  <c r="F26" i="19"/>
  <c r="F27" i="19"/>
  <c r="E27" i="19"/>
  <c r="F28" i="19"/>
  <c r="E28" i="19" s="1"/>
  <c r="F29" i="19"/>
  <c r="E29" i="19"/>
  <c r="P29" i="19" s="1"/>
  <c r="J29" i="19"/>
  <c r="F22" i="19"/>
  <c r="E22" i="19"/>
  <c r="P22" i="19" s="1"/>
  <c r="E26" i="19"/>
  <c r="D24" i="26"/>
  <c r="C24" i="26"/>
  <c r="D22" i="26"/>
  <c r="L96" i="19"/>
  <c r="L45" i="19"/>
  <c r="O45" i="19"/>
  <c r="J45" i="19"/>
  <c r="E44" i="19"/>
  <c r="P44" i="19" s="1"/>
  <c r="E18" i="19"/>
  <c r="E19" i="19"/>
  <c r="F32" i="19"/>
  <c r="E32" i="19"/>
  <c r="P32" i="19" s="1"/>
  <c r="J32" i="19"/>
  <c r="G38" i="27"/>
  <c r="E83" i="26"/>
  <c r="E82" i="26"/>
  <c r="E91" i="26"/>
  <c r="E87" i="26"/>
  <c r="E77" i="26"/>
  <c r="E70" i="26" s="1"/>
  <c r="E71" i="26"/>
  <c r="E75" i="26"/>
  <c r="C84" i="26"/>
  <c r="F83" i="26"/>
  <c r="F82" i="26" s="1"/>
  <c r="D83" i="26"/>
  <c r="D82" i="26"/>
  <c r="O42" i="19"/>
  <c r="O41" i="19" s="1"/>
  <c r="L66" i="19"/>
  <c r="J66" i="19"/>
  <c r="F66" i="19"/>
  <c r="F68" i="19"/>
  <c r="E68" i="19" s="1"/>
  <c r="E66" i="19"/>
  <c r="P66" i="19" s="1"/>
  <c r="L57" i="19"/>
  <c r="J57" i="19"/>
  <c r="L60" i="19"/>
  <c r="L59" i="19"/>
  <c r="J59" i="19" s="1"/>
  <c r="E59" i="19"/>
  <c r="L58" i="19"/>
  <c r="J58" i="19" s="1"/>
  <c r="P58" i="19" s="1"/>
  <c r="L56" i="19"/>
  <c r="L55" i="19"/>
  <c r="L54" i="19"/>
  <c r="L47" i="19"/>
  <c r="L44" i="19"/>
  <c r="L13" i="19"/>
  <c r="L12" i="19" s="1"/>
  <c r="L11" i="19" s="1"/>
  <c r="D27" i="26"/>
  <c r="E26" i="26"/>
  <c r="D29" i="26"/>
  <c r="D26" i="26" s="1"/>
  <c r="C26" i="26" s="1"/>
  <c r="I42" i="23"/>
  <c r="I41" i="23" s="1"/>
  <c r="J42" i="23"/>
  <c r="J41" i="23"/>
  <c r="G42" i="23"/>
  <c r="G41" i="23" s="1"/>
  <c r="I21" i="23"/>
  <c r="I20" i="23"/>
  <c r="J20" i="23"/>
  <c r="G21" i="23"/>
  <c r="G20" i="23"/>
  <c r="D67" i="26"/>
  <c r="C67" i="26" s="1"/>
  <c r="C69" i="26"/>
  <c r="D50" i="26"/>
  <c r="C52" i="26"/>
  <c r="D25" i="28"/>
  <c r="C25" i="28" s="1"/>
  <c r="D17" i="28"/>
  <c r="C17" i="28"/>
  <c r="D13" i="28"/>
  <c r="E13" i="28"/>
  <c r="E12" i="28" s="1"/>
  <c r="C16" i="28"/>
  <c r="C15" i="28"/>
  <c r="E15" i="28"/>
  <c r="F13" i="28"/>
  <c r="F15" i="28"/>
  <c r="F12" i="28"/>
  <c r="C14" i="28"/>
  <c r="C18" i="28"/>
  <c r="C20" i="28"/>
  <c r="E22" i="28"/>
  <c r="E19" i="28"/>
  <c r="F22" i="28"/>
  <c r="F19" i="28"/>
  <c r="C21" i="28"/>
  <c r="C23" i="28"/>
  <c r="F85" i="19"/>
  <c r="F88" i="19"/>
  <c r="E88" i="19"/>
  <c r="P88" i="19" s="1"/>
  <c r="F91" i="19"/>
  <c r="E91" i="19"/>
  <c r="F96" i="19"/>
  <c r="F86" i="19"/>
  <c r="L91" i="19"/>
  <c r="J91" i="19" s="1"/>
  <c r="G84" i="19"/>
  <c r="H84" i="19"/>
  <c r="H83" i="19" s="1"/>
  <c r="I84" i="19"/>
  <c r="I83" i="19" s="1"/>
  <c r="L85" i="19"/>
  <c r="J85" i="19"/>
  <c r="L86" i="19"/>
  <c r="J86" i="19"/>
  <c r="J84" i="19" s="1"/>
  <c r="J83" i="19" s="1"/>
  <c r="L88" i="19"/>
  <c r="J88" i="19"/>
  <c r="L89" i="19"/>
  <c r="J89" i="19"/>
  <c r="P89" i="19" s="1"/>
  <c r="L90" i="19"/>
  <c r="J90" i="19"/>
  <c r="J92" i="19"/>
  <c r="P92" i="19" s="1"/>
  <c r="J96" i="19"/>
  <c r="P96" i="19" s="1"/>
  <c r="L97" i="19"/>
  <c r="J97" i="19"/>
  <c r="P97" i="19"/>
  <c r="K84" i="19"/>
  <c r="M84" i="19"/>
  <c r="N84" i="19"/>
  <c r="O84" i="19"/>
  <c r="O83" i="19" s="1"/>
  <c r="E85" i="19"/>
  <c r="P85" i="19"/>
  <c r="E89" i="19"/>
  <c r="E90" i="19"/>
  <c r="E95" i="19"/>
  <c r="P95" i="19" s="1"/>
  <c r="E97" i="19"/>
  <c r="F75" i="19"/>
  <c r="E75" i="19" s="1"/>
  <c r="P75" i="19" s="1"/>
  <c r="F76" i="19"/>
  <c r="F77" i="19"/>
  <c r="E77" i="19"/>
  <c r="P77" i="19" s="1"/>
  <c r="F80" i="19"/>
  <c r="J76" i="19"/>
  <c r="J77" i="19"/>
  <c r="J80" i="19"/>
  <c r="P80" i="19" s="1"/>
  <c r="E76" i="19"/>
  <c r="E80" i="19"/>
  <c r="L64" i="19"/>
  <c r="J64" i="19" s="1"/>
  <c r="P64" i="19" s="1"/>
  <c r="L67" i="19"/>
  <c r="J67" i="19"/>
  <c r="L68" i="19"/>
  <c r="J68" i="19" s="1"/>
  <c r="K52" i="19"/>
  <c r="F52" i="19"/>
  <c r="J54" i="19"/>
  <c r="J55" i="19"/>
  <c r="J56" i="19"/>
  <c r="E55" i="19"/>
  <c r="E56" i="19"/>
  <c r="E58" i="19"/>
  <c r="E60" i="19"/>
  <c r="P60" i="19"/>
  <c r="P55" i="19"/>
  <c r="F49" i="19"/>
  <c r="E49" i="19"/>
  <c r="F50" i="19"/>
  <c r="E50" i="19"/>
  <c r="P50" i="19" s="1"/>
  <c r="G42" i="19"/>
  <c r="H42" i="19"/>
  <c r="I42" i="19"/>
  <c r="I41" i="19" s="1"/>
  <c r="L43" i="19"/>
  <c r="J43" i="19"/>
  <c r="J44" i="19"/>
  <c r="L46" i="19"/>
  <c r="J47" i="19"/>
  <c r="L48" i="19"/>
  <c r="J48" i="19" s="1"/>
  <c r="K42" i="19"/>
  <c r="M42" i="19"/>
  <c r="M41" i="19" s="1"/>
  <c r="N42" i="19"/>
  <c r="N41" i="19" s="1"/>
  <c r="E43" i="19"/>
  <c r="E47" i="19"/>
  <c r="P47" i="19"/>
  <c r="F21" i="19"/>
  <c r="E21" i="19" s="1"/>
  <c r="P21" i="19" s="1"/>
  <c r="F35" i="19"/>
  <c r="H12" i="19"/>
  <c r="H11" i="19" s="1"/>
  <c r="I12" i="19"/>
  <c r="L14" i="19"/>
  <c r="J14" i="19"/>
  <c r="L15" i="19"/>
  <c r="J15" i="19" s="1"/>
  <c r="L16" i="19"/>
  <c r="J16" i="19"/>
  <c r="P16" i="19" s="1"/>
  <c r="E16" i="19"/>
  <c r="L17" i="19"/>
  <c r="J17" i="19"/>
  <c r="P17" i="19"/>
  <c r="E17" i="19"/>
  <c r="L18" i="19"/>
  <c r="J18" i="19"/>
  <c r="P18" i="19"/>
  <c r="L20" i="19"/>
  <c r="J20" i="19"/>
  <c r="E20" i="19"/>
  <c r="P20" i="19"/>
  <c r="J21" i="19"/>
  <c r="J22" i="19"/>
  <c r="J23" i="19"/>
  <c r="J24" i="19"/>
  <c r="P24" i="19" s="1"/>
  <c r="J26" i="19"/>
  <c r="N27" i="19"/>
  <c r="O27" i="19"/>
  <c r="J27" i="19" s="1"/>
  <c r="P27" i="19" s="1"/>
  <c r="O28" i="19"/>
  <c r="J28" i="19" s="1"/>
  <c r="L34" i="19"/>
  <c r="J34" i="19"/>
  <c r="P34" i="19"/>
  <c r="K12" i="19"/>
  <c r="M12" i="19"/>
  <c r="M11" i="19"/>
  <c r="M104" i="19"/>
  <c r="N23" i="19"/>
  <c r="N24" i="19"/>
  <c r="N25" i="19"/>
  <c r="N26" i="19"/>
  <c r="N12" i="19" s="1"/>
  <c r="N11" i="19" s="1"/>
  <c r="N104" i="19" s="1"/>
  <c r="N83" i="19"/>
  <c r="N52" i="19"/>
  <c r="N72" i="19"/>
  <c r="N98" i="19"/>
  <c r="O22" i="19"/>
  <c r="E31" i="19"/>
  <c r="P31" i="19" s="1"/>
  <c r="E33" i="19"/>
  <c r="P33" i="19"/>
  <c r="E34" i="19"/>
  <c r="E35" i="19"/>
  <c r="E36" i="19"/>
  <c r="P36" i="19"/>
  <c r="E37" i="19"/>
  <c r="P37" i="19" s="1"/>
  <c r="E38" i="19"/>
  <c r="P38" i="19"/>
  <c r="P19" i="19"/>
  <c r="P26" i="19"/>
  <c r="P35" i="19"/>
  <c r="P16" i="22"/>
  <c r="P15" i="22"/>
  <c r="M17" i="22"/>
  <c r="N17" i="22"/>
  <c r="O17" i="22"/>
  <c r="P14" i="22"/>
  <c r="G56" i="27"/>
  <c r="G57" i="27"/>
  <c r="G58" i="27"/>
  <c r="G59" i="27"/>
  <c r="G60" i="27"/>
  <c r="G61" i="27"/>
  <c r="G65" i="27"/>
  <c r="G66" i="27"/>
  <c r="G68" i="27"/>
  <c r="G69" i="27"/>
  <c r="G70" i="27"/>
  <c r="G71" i="27"/>
  <c r="G72" i="27"/>
  <c r="G75" i="27"/>
  <c r="G76" i="27"/>
  <c r="D17" i="22"/>
  <c r="H17" i="22"/>
  <c r="I17" i="22"/>
  <c r="J17" i="22"/>
  <c r="K17" i="22"/>
  <c r="L14" i="22"/>
  <c r="L17" i="22"/>
  <c r="C17" i="22"/>
  <c r="D108" i="26"/>
  <c r="P39" i="19"/>
  <c r="P40" i="19"/>
  <c r="L100" i="19"/>
  <c r="L102" i="19"/>
  <c r="L99" i="19"/>
  <c r="L98" i="19" s="1"/>
  <c r="J100" i="19"/>
  <c r="J102" i="19"/>
  <c r="J99" i="19" s="1"/>
  <c r="J98" i="19" s="1"/>
  <c r="K11" i="19"/>
  <c r="K41" i="19"/>
  <c r="K62" i="19"/>
  <c r="K83" i="19"/>
  <c r="E98" i="26"/>
  <c r="E97" i="26"/>
  <c r="E94" i="26" s="1"/>
  <c r="G41" i="19"/>
  <c r="G62" i="19"/>
  <c r="G72" i="19"/>
  <c r="G83" i="19"/>
  <c r="H52" i="19"/>
  <c r="H72" i="19"/>
  <c r="H98" i="19"/>
  <c r="I11" i="19"/>
  <c r="I104" i="19" s="1"/>
  <c r="I52" i="19"/>
  <c r="I62" i="19"/>
  <c r="I98" i="19"/>
  <c r="L72" i="19"/>
  <c r="M62" i="19"/>
  <c r="M72" i="19"/>
  <c r="M83" i="19"/>
  <c r="O52" i="19"/>
  <c r="O62" i="19"/>
  <c r="O98" i="19"/>
  <c r="F98" i="26"/>
  <c r="F97" i="26" s="1"/>
  <c r="F94" i="26" s="1"/>
  <c r="D12" i="26"/>
  <c r="C12" i="26" s="1"/>
  <c r="E12" i="26"/>
  <c r="D17" i="26"/>
  <c r="C17" i="26" s="1"/>
  <c r="D39" i="26"/>
  <c r="C39" i="26" s="1"/>
  <c r="D53" i="26"/>
  <c r="E39" i="26"/>
  <c r="E53" i="26"/>
  <c r="D64" i="26"/>
  <c r="D75" i="26"/>
  <c r="D77" i="26"/>
  <c r="D87" i="26"/>
  <c r="C87" i="26" s="1"/>
  <c r="D91" i="26"/>
  <c r="C91" i="26"/>
  <c r="D120" i="26"/>
  <c r="D119" i="26" s="1"/>
  <c r="C110" i="26"/>
  <c r="C115" i="26"/>
  <c r="C116" i="26"/>
  <c r="C117" i="26"/>
  <c r="C118" i="26"/>
  <c r="L103" i="19"/>
  <c r="J103" i="19" s="1"/>
  <c r="P103" i="19" s="1"/>
  <c r="F103" i="19"/>
  <c r="D58" i="26"/>
  <c r="E58" i="26"/>
  <c r="E57" i="26"/>
  <c r="E21" i="26"/>
  <c r="E17" i="26"/>
  <c r="F12" i="26"/>
  <c r="F17" i="26"/>
  <c r="F11" i="26"/>
  <c r="F21" i="26"/>
  <c r="F26" i="26"/>
  <c r="F39" i="26"/>
  <c r="F53" i="26"/>
  <c r="F50" i="26"/>
  <c r="F58" i="26"/>
  <c r="F57" i="26" s="1"/>
  <c r="C13" i="26"/>
  <c r="C14" i="26"/>
  <c r="C15" i="26"/>
  <c r="C16" i="26"/>
  <c r="C18" i="26"/>
  <c r="C19" i="26"/>
  <c r="C20" i="26"/>
  <c r="C23" i="26"/>
  <c r="C25" i="26"/>
  <c r="C28" i="26"/>
  <c r="C30" i="26"/>
  <c r="C31" i="26"/>
  <c r="C32" i="26"/>
  <c r="C33" i="26"/>
  <c r="C34" i="26"/>
  <c r="C35" i="26"/>
  <c r="C36" i="26"/>
  <c r="C37" i="26"/>
  <c r="C40" i="26"/>
  <c r="C41" i="26"/>
  <c r="C42" i="26"/>
  <c r="C43" i="26"/>
  <c r="C44" i="26"/>
  <c r="C45" i="26"/>
  <c r="C46" i="26"/>
  <c r="C47" i="26"/>
  <c r="C48" i="26"/>
  <c r="C49" i="26"/>
  <c r="C51" i="26"/>
  <c r="C54" i="26"/>
  <c r="C55" i="26"/>
  <c r="C56" i="26"/>
  <c r="C59" i="26"/>
  <c r="C60" i="26"/>
  <c r="C61" i="26"/>
  <c r="E64" i="26"/>
  <c r="D71" i="26"/>
  <c r="C71" i="26"/>
  <c r="D80" i="26"/>
  <c r="C80" i="26" s="1"/>
  <c r="E67" i="26"/>
  <c r="E80" i="26"/>
  <c r="F64" i="26"/>
  <c r="F67" i="26"/>
  <c r="F63" i="26" s="1"/>
  <c r="F62" i="26" s="1"/>
  <c r="F71" i="26"/>
  <c r="F75" i="26"/>
  <c r="F70" i="26" s="1"/>
  <c r="F77" i="26"/>
  <c r="F80" i="26"/>
  <c r="F87" i="26"/>
  <c r="F91" i="26"/>
  <c r="F86" i="26" s="1"/>
  <c r="C65" i="26"/>
  <c r="C66" i="26"/>
  <c r="C68" i="26"/>
  <c r="C72" i="26"/>
  <c r="C73" i="26"/>
  <c r="C74" i="26"/>
  <c r="C76" i="26"/>
  <c r="C78" i="26"/>
  <c r="C79" i="26"/>
  <c r="C81" i="26"/>
  <c r="C85" i="26"/>
  <c r="C88" i="26"/>
  <c r="C89" i="26"/>
  <c r="C90" i="26"/>
  <c r="C92" i="26"/>
  <c r="C93" i="26"/>
  <c r="D98" i="26"/>
  <c r="D97" i="26" s="1"/>
  <c r="D95" i="26"/>
  <c r="E95" i="26"/>
  <c r="F95" i="26"/>
  <c r="C96" i="26"/>
  <c r="C99" i="26"/>
  <c r="D103" i="26"/>
  <c r="D106" i="26"/>
  <c r="D102" i="26"/>
  <c r="C102" i="26" s="1"/>
  <c r="C104" i="26"/>
  <c r="C105" i="26"/>
  <c r="C107" i="26"/>
  <c r="C106" i="26"/>
  <c r="C109" i="26"/>
  <c r="C111" i="26"/>
  <c r="C112" i="26"/>
  <c r="C113" i="26"/>
  <c r="C114" i="26"/>
  <c r="E120" i="26"/>
  <c r="E119" i="26" s="1"/>
  <c r="F120" i="26"/>
  <c r="F119" i="26" s="1"/>
  <c r="C121" i="26"/>
  <c r="F39" i="19"/>
  <c r="F40" i="19"/>
  <c r="C103" i="26"/>
  <c r="C75" i="26"/>
  <c r="C108" i="26"/>
  <c r="H41" i="19"/>
  <c r="C50" i="26"/>
  <c r="E63" i="26"/>
  <c r="C53" i="26"/>
  <c r="C27" i="26"/>
  <c r="P90" i="19"/>
  <c r="C83" i="26"/>
  <c r="P54" i="19"/>
  <c r="D94" i="26"/>
  <c r="C82" i="26"/>
  <c r="I50" i="23"/>
  <c r="E11" i="26"/>
  <c r="D15" i="28"/>
  <c r="D101" i="26"/>
  <c r="C101" i="26" s="1"/>
  <c r="P43" i="19"/>
  <c r="P91" i="19"/>
  <c r="P28" i="19"/>
  <c r="C97" i="26"/>
  <c r="O12" i="19"/>
  <c r="O11" i="19" s="1"/>
  <c r="O104" i="19" s="1"/>
  <c r="P49" i="19"/>
  <c r="J96" i="27"/>
  <c r="E86" i="19"/>
  <c r="P48" i="19" l="1"/>
  <c r="P98" i="19"/>
  <c r="P46" i="19"/>
  <c r="C94" i="26"/>
  <c r="F13" i="19"/>
  <c r="G12" i="19"/>
  <c r="G11" i="19" s="1"/>
  <c r="G104" i="19" s="1"/>
  <c r="P102" i="19"/>
  <c r="D57" i="26"/>
  <c r="C57" i="26" s="1"/>
  <c r="C58" i="26"/>
  <c r="L53" i="19"/>
  <c r="L52" i="19" s="1"/>
  <c r="P86" i="19"/>
  <c r="D86" i="26"/>
  <c r="P100" i="19"/>
  <c r="C95" i="26"/>
  <c r="C119" i="26"/>
  <c r="C77" i="26"/>
  <c r="D70" i="26"/>
  <c r="C70" i="26" s="1"/>
  <c r="K104" i="19"/>
  <c r="P17" i="22"/>
  <c r="P56" i="19"/>
  <c r="L84" i="19"/>
  <c r="L83" i="19" s="1"/>
  <c r="P59" i="19"/>
  <c r="P68" i="19"/>
  <c r="E45" i="19"/>
  <c r="E87" i="19"/>
  <c r="F84" i="19"/>
  <c r="F83" i="19" s="1"/>
  <c r="J63" i="19"/>
  <c r="J62" i="19" s="1"/>
  <c r="F73" i="19"/>
  <c r="F72" i="19" s="1"/>
  <c r="E73" i="19"/>
  <c r="E72" i="19" s="1"/>
  <c r="C120" i="26"/>
  <c r="D38" i="26"/>
  <c r="J46" i="19"/>
  <c r="J42" i="19" s="1"/>
  <c r="J41" i="19" s="1"/>
  <c r="L42" i="19"/>
  <c r="L41" i="19" s="1"/>
  <c r="L104" i="19" s="1"/>
  <c r="C13" i="28"/>
  <c r="C12" i="28" s="1"/>
  <c r="D12" i="28"/>
  <c r="E86" i="26"/>
  <c r="E62" i="26" s="1"/>
  <c r="P57" i="19"/>
  <c r="E38" i="26"/>
  <c r="E10" i="26" s="1"/>
  <c r="J53" i="19"/>
  <c r="J52" i="19" s="1"/>
  <c r="E53" i="19"/>
  <c r="E52" i="19" s="1"/>
  <c r="P52" i="19" s="1"/>
  <c r="L63" i="19"/>
  <c r="L62" i="19" s="1"/>
  <c r="F38" i="26"/>
  <c r="F10" i="26" s="1"/>
  <c r="D63" i="26"/>
  <c r="C64" i="26"/>
  <c r="D11" i="26"/>
  <c r="H104" i="19"/>
  <c r="P76" i="19"/>
  <c r="P73" i="19" s="1"/>
  <c r="D22" i="28"/>
  <c r="C29" i="26"/>
  <c r="J13" i="19"/>
  <c r="J12" i="19" s="1"/>
  <c r="J11" i="19" s="1"/>
  <c r="J104" i="19" s="1"/>
  <c r="D21" i="26"/>
  <c r="C21" i="26" s="1"/>
  <c r="C22" i="26"/>
  <c r="F99" i="19"/>
  <c r="F98" i="19" s="1"/>
  <c r="E65" i="19"/>
  <c r="F63" i="19"/>
  <c r="F62" i="19" s="1"/>
  <c r="J73" i="19"/>
  <c r="J72" i="19" s="1"/>
  <c r="I54" i="27"/>
  <c r="I96" i="27" s="1"/>
  <c r="G55" i="27"/>
  <c r="G54" i="27" s="1"/>
  <c r="G96" i="27" s="1"/>
  <c r="C98" i="26"/>
  <c r="E122" i="26" l="1"/>
  <c r="E100" i="26"/>
  <c r="P65" i="19"/>
  <c r="P63" i="19" s="1"/>
  <c r="E63" i="19"/>
  <c r="E62" i="19" s="1"/>
  <c r="P62" i="19" s="1"/>
  <c r="D10" i="26"/>
  <c r="C11" i="26"/>
  <c r="P72" i="19"/>
  <c r="P87" i="19"/>
  <c r="P84" i="19" s="1"/>
  <c r="E84" i="19"/>
  <c r="E83" i="19" s="1"/>
  <c r="P83" i="19" s="1"/>
  <c r="F122" i="26"/>
  <c r="F100" i="26"/>
  <c r="C22" i="28"/>
  <c r="C19" i="28" s="1"/>
  <c r="D19" i="28"/>
  <c r="P99" i="19"/>
  <c r="E13" i="19"/>
  <c r="F12" i="19"/>
  <c r="F11" i="19" s="1"/>
  <c r="F104" i="19" s="1"/>
  <c r="J108" i="19"/>
  <c r="J111" i="19"/>
  <c r="C63" i="26"/>
  <c r="D62" i="26"/>
  <c r="C62" i="26" s="1"/>
  <c r="C38" i="26"/>
  <c r="P45" i="19"/>
  <c r="P42" i="19" s="1"/>
  <c r="E42" i="19"/>
  <c r="E41" i="19" s="1"/>
  <c r="P41" i="19" s="1"/>
  <c r="P53" i="19"/>
  <c r="C86" i="26"/>
  <c r="E12" i="19" l="1"/>
  <c r="E11" i="19" s="1"/>
  <c r="E104" i="19" s="1"/>
  <c r="E108" i="19" s="1"/>
  <c r="P108" i="19" s="1"/>
  <c r="P13" i="19"/>
  <c r="P12" i="19" s="1"/>
  <c r="P11" i="19" s="1"/>
  <c r="P104" i="19" s="1"/>
  <c r="D122" i="26"/>
  <c r="D100" i="26"/>
  <c r="C100" i="26" s="1"/>
  <c r="C10" i="26"/>
  <c r="C122" i="26" l="1"/>
  <c r="E111" i="19"/>
  <c r="E109" i="19"/>
</calcChain>
</file>

<file path=xl/sharedStrings.xml><?xml version="1.0" encoding="utf-8"?>
<sst xmlns="http://schemas.openxmlformats.org/spreadsheetml/2006/main" count="704" uniqueCount="416">
  <si>
    <t>Програма підвищення ефективності функціонування, розвитку та роботи Центру надання адміністративних послуг в Новодністровській ОТГ на 2019-2020 роки</t>
  </si>
  <si>
    <t>Програма будівництва, реконструкції, капітальних ремонтів обєктів соціальної сфери, житлового фонду та інших обєктів комунальної власності Новодністровської ОТГ на 2019-2020 роки</t>
  </si>
  <si>
    <t>Програма створення універсального доступного середовища для людей з особливими потребами Новодністровської ОТГ на 2019-2020 роки</t>
  </si>
  <si>
    <t>Організація та проведення громадських робіт</t>
  </si>
  <si>
    <t>Культура і мистецтво (Відділ культури)</t>
  </si>
  <si>
    <t>Реверсна дотація</t>
  </si>
  <si>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</si>
  <si>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</si>
  <si>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</si>
  <si>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прибуток підприємств</t>
  </si>
  <si>
    <t>Інші податки та збори</t>
  </si>
  <si>
    <t>Неподаткові надходження</t>
  </si>
  <si>
    <t>Доходи від власності та підприємницької діяльності</t>
  </si>
  <si>
    <t>Адміністративні збори та платежі, доходи від некомерційної господарської діяльності</t>
  </si>
  <si>
    <t>Цільові фонди</t>
  </si>
  <si>
    <t>Внутрішні податки на товари та послуги</t>
  </si>
  <si>
    <t>Рентна плата, збори на паливно-енергетичні ресурси</t>
  </si>
  <si>
    <t>Загальний фонд</t>
  </si>
  <si>
    <t>Спеціальний фонд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</si>
  <si>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</si>
  <si>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</si>
  <si>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</si>
  <si>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</si>
  <si>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</si>
  <si>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</si>
  <si>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0111</t>
  </si>
  <si>
    <t>….</t>
  </si>
  <si>
    <t>Податки на власність</t>
  </si>
  <si>
    <t xml:space="preserve">Податки на міжнародну торгівлю та зовнішні операції                                                                                   </t>
  </si>
  <si>
    <t>Окремі податки і збори, що зараховуються до місцевих бюджетів</t>
  </si>
  <si>
    <t>Місцеві податки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</si>
  <si>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</si>
  <si>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</si>
  <si>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</si>
  <si>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</si>
  <si>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</si>
  <si>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</si>
  <si>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</si>
  <si>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</si>
  <si>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</si>
  <si>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</si>
  <si>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</si>
  <si>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</si>
  <si>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</si>
  <si>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Єдиний податок  </t>
  </si>
  <si>
    <t>Єдиний податок з юридичних осіб </t>
  </si>
  <si>
    <t>Єдиний податок з фізичних осіб </t>
  </si>
  <si>
    <t>Плата за розміщення тимчасово вільних коштів місцевих бюджетів </t>
  </si>
  <si>
    <t>Інші надходження  </t>
  </si>
  <si>
    <t>Адміністративні штрафи та інші санкції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</si>
  <si>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</si>
  <si>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</si>
  <si>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</si>
  <si>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</si>
  <si>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</si>
  <si>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</si>
  <si>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</si>
  <si>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</si>
  <si>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</si>
  <si>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Доходи від операцій з капіталом  </t>
  </si>
  <si>
    <t>Надходження від продажу основного капіталу  </t>
  </si>
  <si>
    <t>Офіційні трансферти  </t>
  </si>
  <si>
    <t>Від органів державного управління  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</si>
  <si>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</si>
  <si>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</si>
  <si>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за рахунок залишку коштів освітньої субвенції з державного бюджету місцевим бюджетам, що утворився на початок бюджетного періоду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</si>
  <si>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</si>
  <si>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</si>
  <si>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</si>
  <si>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</si>
  <si>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Інші джерела власних надходжень бюджетних установ  </t>
  </si>
  <si>
    <t>Благодійні внески, гранти та дарунки </t>
  </si>
  <si>
    <t>Кошти від відчуження майна, що належить Автономній Республіці Крим та майна, що перебуває в комунальній власності  </t>
  </si>
  <si>
    <t>Інші субвенції 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</si>
  <si>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</si>
  <si>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прибуток підприємств та фінансових установ комунальної власності </t>
  </si>
  <si>
    <t>грн.</t>
  </si>
  <si>
    <t>Екологічний податок 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</si>
  <si>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</si>
  <si>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</si>
  <si>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Фінансове управління</t>
  </si>
  <si>
    <t>Проведення навчально-тренувальних зборів і змагань з олімпійських видів спорту</t>
  </si>
  <si>
    <t xml:space="preserve">Проведення навчально-тренувальних зборів і змагань з неолімпійських видів спорту </t>
  </si>
  <si>
    <t>Заходи державної політики з питань дітей та їх соціального захисту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</si>
  <si>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</si>
  <si>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Освіта (Відділ гуманітарної політики)</t>
  </si>
  <si>
    <t>Соціальний захист та соціальне забезпечення (Управління праці та соціального захисту населення)</t>
  </si>
  <si>
    <t>Резервний фонд 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</si>
  <si>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</si>
  <si>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</si>
  <si>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Фінансова підтримка засобів масової інформації</t>
  </si>
  <si>
    <t>Забезпечення діяльності бібліотек</t>
  </si>
  <si>
    <t>Забезпечення діяльності музеїв i виставок</t>
  </si>
  <si>
    <t>Забезпечення діяльності палаців і будинків культури, клубів, центрів дозвілля  та інших клубних закладів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</si>
  <si>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</si>
  <si>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0800000</t>
  </si>
  <si>
    <t>0810000</t>
  </si>
  <si>
    <t>0813032</t>
  </si>
  <si>
    <t>Надання пільг окремим категоріям громадян з оплати послуг зв'язку</t>
  </si>
  <si>
    <t>0813160</t>
  </si>
  <si>
    <t>0600000</t>
  </si>
  <si>
    <t>0610000</t>
  </si>
  <si>
    <t>0611010</t>
  </si>
  <si>
    <t>Надання дошкільної освіти</t>
  </si>
  <si>
    <t>0611020</t>
  </si>
  <si>
    <t>0611090</t>
  </si>
  <si>
    <t>0611150</t>
  </si>
  <si>
    <t>Централізовані заходи з лікування хворих на цукровий та нецукровий діабет</t>
  </si>
  <si>
    <t>0160</t>
  </si>
  <si>
    <t>Утримання та забезпечення діяльності центрів соціальних служб для сім'ї, дітей та молоді</t>
  </si>
  <si>
    <t>Організація благоустрою населених пунктів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</si>
  <si>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</si>
  <si>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>Розроблення схем планування та забудови територій (містобудівної документації)</t>
  </si>
  <si>
    <t>Здійснення  заходів із землеустрою</t>
  </si>
  <si>
    <t>0610160</t>
  </si>
  <si>
    <t>0810160</t>
  </si>
  <si>
    <t>1010160</t>
  </si>
  <si>
    <t>0180</t>
  </si>
  <si>
    <t>0133</t>
  </si>
  <si>
    <t>Інша діяльність у сфері державного управління</t>
  </si>
  <si>
    <t>1110160</t>
  </si>
  <si>
    <t>1115011</t>
  </si>
  <si>
    <t>1115012</t>
  </si>
  <si>
    <t>1115061</t>
  </si>
  <si>
    <t>1115062</t>
  </si>
  <si>
    <t>1115063</t>
  </si>
  <si>
    <t>1115031</t>
  </si>
  <si>
    <t>Утримання та навчально-тренувальна робота комунальних дитячо-юнацьких спортивних шкіл</t>
  </si>
  <si>
    <t>Забезпечення діяльності централізованої бухгалтерії</t>
  </si>
  <si>
    <t>1113140</t>
  </si>
  <si>
    <t>3140</t>
  </si>
  <si>
    <t>1040</t>
  </si>
  <si>
    <t>Оздоровлення та відпочинок дітей (крім заходів з оздоровлення дітей, що здійснюється за рахунок коштів на оздоровлення громадян, які постраждали внаслідок Чорнобильської катастрофи)</t>
  </si>
  <si>
    <t>Заходи державної політики з питань сімї</t>
  </si>
  <si>
    <t>Відшкодування вартості лікарських засобів для лікування окремих захворювань</t>
  </si>
  <si>
    <t>Первинна медична допомога населенню, що надається центрами первинної медичної (медико-санітарної) допомоги</t>
  </si>
  <si>
    <t>Акцизний податок з ввезених на митну територію України підакцизних товарів (продукції) </t>
  </si>
  <si>
    <t>0813104</t>
  </si>
  <si>
    <t>Реалізація програм і заходів в галузі зовнішньоекономічної діяльності</t>
  </si>
  <si>
    <t>0611161</t>
  </si>
  <si>
    <t>Забезпечення діяльності інших закладів у сфері освіти</t>
  </si>
  <si>
    <t>0611162</t>
  </si>
  <si>
    <t>Забезпечення діяльності інших закладів  в галузі культури і мистецтва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</si>
  <si>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</si>
  <si>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Дотації  з місцевих бюджетів іншим місцевим бюджетам</t>
  </si>
  <si>
    <t>Субвенції  з місцевих бюджетів іншим місцевим бюджетам</t>
  </si>
  <si>
    <t>Заходи із запобігання та ліквідації надзвичайних ситуацій та наслідків стихійного лиха</t>
  </si>
  <si>
    <t>Інші програми та заходи у сфері освіти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</si>
  <si>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</si>
  <si>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</si>
  <si>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 </t>
  </si>
  <si>
    <t>0813242</t>
  </si>
  <si>
    <t>Інші заходи у сфері соціального захисту і соціального забезпечення</t>
  </si>
  <si>
    <t>2152</t>
  </si>
  <si>
    <t>0763</t>
  </si>
  <si>
    <t>Інші програми та заходи у сфері охорони здоров’я</t>
  </si>
  <si>
    <t>Усього</t>
  </si>
  <si>
    <t>у тому числі бюджет розвитку</t>
  </si>
  <si>
    <t>усього</t>
  </si>
  <si>
    <t>Х</t>
  </si>
  <si>
    <t>Трансферти з інших місцевих бюджетів</t>
  </si>
  <si>
    <t>дотація на:</t>
  </si>
  <si>
    <t>субвенції</t>
  </si>
  <si>
    <t>найменування трансферту</t>
  </si>
  <si>
    <t>загального фонду на:</t>
  </si>
  <si>
    <t>спеціального фонду на:</t>
  </si>
  <si>
    <t>Найменування бюджету - одержувача/надавача міжбюджетного трансферту</t>
  </si>
  <si>
    <t xml:space="preserve">Усього
</t>
  </si>
  <si>
    <t>Забезпечення діяльності місцевої пожежної охорони</t>
  </si>
  <si>
    <t>0613123</t>
  </si>
  <si>
    <t>Утримання та розвиток автомобільних доріг та дорожньої інфраструктури за рахунок коштів місцевого бюджету</t>
  </si>
  <si>
    <t>Природоохоронні заходи за рахунок цільових фондів</t>
  </si>
  <si>
    <t>Сприяння розвитку малого та середнього підприємництва</t>
  </si>
  <si>
    <t>Міська програма подолання дитячої безпритульності і бездоглядності в м.Новодністровськ на 2017-2020 роки</t>
  </si>
  <si>
    <t>Місцева Програма забезпечення житлом дітей-сиріт, дітей, позбавлених батьківського піклування, та осіб з їх числа на 2016-2020 роки</t>
  </si>
  <si>
    <t>Програма розвитку соціальних послуг для сімї, дітей та молоді в м.Новодністровськ на 2016- 2020 роки.</t>
  </si>
  <si>
    <t>Заходи запобігання та ліквідації надзвичайних ситуацій та наслідків стихійного лиха</t>
  </si>
  <si>
    <t>Програма створення та накопичення міського матеріального резерву міста для виконання заходів, спрямованих на запобігання і ліквідацію надзвичайних ситуацій техногенного і природного характеру на 2018-2020 роки</t>
  </si>
  <si>
    <t>Програма охорони навколишнього природного середовища м.Новодністровськ на 2018-2020 роки</t>
  </si>
  <si>
    <t>Інші програми та заходи освіти</t>
  </si>
  <si>
    <t>Інші освітні програми</t>
  </si>
  <si>
    <t>Міська програма "Творча обдарованість" на 2017-2019 роки</t>
  </si>
  <si>
    <t>Міська програма "Оздоровлення та відпочинку дітей м.Новодністровськ на 2018-2020 роки"</t>
  </si>
  <si>
    <t>Міська цільова Програма розвитку  фізичної культури і спорту на 2018-2020 роки</t>
  </si>
  <si>
    <t xml:space="preserve">рішення 43 сесії міської ради VII скликання №283 від 30.11.2017р. </t>
  </si>
  <si>
    <t>рішення 43 сесії міської ради VII скликання №311 від 30.11.2017 р.</t>
  </si>
  <si>
    <t>рішення 11 сесії міської ради VII скликання №122 від 28.04.2016 р. (зі змінами)</t>
  </si>
  <si>
    <t>рішення 69 сесії міської ради VI скликання №132 від 30.06.2015 р. (зі змінами)</t>
  </si>
  <si>
    <t>Програма розвитку земельних відносин на території Новодністровської міської ради на 2019-2020 роки</t>
  </si>
  <si>
    <t>рішення 63 сесії міської ради VII скликання №296 від 25.10.2018 р.</t>
  </si>
  <si>
    <t>рішення 49 сесії міської ради VII скликання №59 від 29.03.2018 р.</t>
  </si>
  <si>
    <t>Транспортний податок з фізичних осіб</t>
  </si>
  <si>
    <t>Транспортний податок з юридичних осіб</t>
  </si>
  <si>
    <t>Туристичний збір </t>
  </si>
  <si>
    <t>Туристичний збір, сплачений юридичними особами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</si>
  <si>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</si>
  <si>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</si>
  <si>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</si>
  <si>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Митні збори  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</si>
  <si>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</si>
  <si>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  </t>
  </si>
  <si>
    <t>Надходження коштів пайової участі у розвитку інфраструктури населеного пункту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</si>
  <si>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</si>
  <si>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</si>
  <si>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</si>
  <si>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</t>
  </si>
  <si>
    <t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</si>
  <si>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 xml:space="preserve"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</t>
  </si>
  <si>
    <t>Інші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</si>
  <si>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</si>
  <si>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Керівництво і управління у відповідній сфері у містах (місті Києві), селищах, селах, об`єднаних територіальних громадах</t>
  </si>
  <si>
    <t>Управління з питань економічного розвитку, торгівлі та інвестицій</t>
  </si>
  <si>
    <t>2716030</t>
  </si>
  <si>
    <t>2716071</t>
  </si>
  <si>
    <t>2717130</t>
  </si>
  <si>
    <t>2717350</t>
  </si>
  <si>
    <t>2717461</t>
  </si>
  <si>
    <t>2717610</t>
  </si>
  <si>
    <t>Трансферти іншим бюджетам</t>
  </si>
  <si>
    <t>Сокирянський районний бюджет</t>
  </si>
  <si>
    <t>Чернівецький міський бюджет</t>
  </si>
  <si>
    <t>Будівництво об`єктів житлово-комунального господарства</t>
  </si>
  <si>
    <t>Будівництво освітніх установ та закладів</t>
  </si>
  <si>
    <t>Будівництво медичних установ та закладів</t>
  </si>
  <si>
    <t>Будівництво установ та закладів соціальної сфери</t>
  </si>
  <si>
    <t>Будівництво установ та закладів культури</t>
  </si>
  <si>
    <t>Будівництво споруд, установ та закладів фізичної культури і спорту</t>
  </si>
  <si>
    <t>Будівництво інших об`єктів соціальної та виробничої інфраструктури комунальної власності</t>
  </si>
  <si>
    <t>Співфінансування інвестиційних проектів, що реалізуються за рахунок коштів державного фонду регіонального розвитку</t>
  </si>
  <si>
    <t>2713210</t>
  </si>
  <si>
    <t>2717630</t>
  </si>
  <si>
    <t>2710180</t>
  </si>
  <si>
    <t>Програма розвитку комунального некомерційного підприємства "Центр первинної медико-санітарної допомоги м.Новодністровськ" на 2018-2020 роки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</si>
  <si>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</si>
  <si>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</si>
  <si>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</si>
  <si>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</si>
  <si>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</si>
  <si>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рішення 44 сесії міської ради VII скликання №330 від 14.12.2017 р.    (зі змінами)</t>
  </si>
  <si>
    <t>Членські внески до асоціацій органів місцевого самоврядування</t>
  </si>
  <si>
    <t>Інші заходи громадського порядку та безпеки</t>
  </si>
  <si>
    <t>Заходи та роботи з мобілізаційної підготовки місцевого значення</t>
  </si>
  <si>
    <t>рішення 53 сесії міської ради VII скликання №126 від 24.05.2018 р.</t>
  </si>
  <si>
    <t>0217310</t>
  </si>
  <si>
    <t>0217321</t>
  </si>
  <si>
    <t>0217324</t>
  </si>
  <si>
    <t>0217330</t>
  </si>
  <si>
    <t>Програма розвитку культури в місті Новодністровськ на 2019-2021 роки</t>
  </si>
  <si>
    <t xml:space="preserve">рішення 60 сесії міської ради VII скликання №260 від 27.09.2018р. </t>
  </si>
  <si>
    <t>рішення 65 сесії міської ради VII скликання №339 від 22.11.2018 р.</t>
  </si>
  <si>
    <t>Програма реалізації Громадського бюджету Новодністровської ОТГ (бюджет участі) на 2019-2020роки</t>
  </si>
  <si>
    <t>Культура і мистецтво (Відділ культури )</t>
  </si>
  <si>
    <t>Молодь і спорт (Відділ молоді і спорту )</t>
  </si>
  <si>
    <t>0110180</t>
  </si>
  <si>
    <t>0112144</t>
  </si>
  <si>
    <t>0112146</t>
  </si>
  <si>
    <t>0112152</t>
  </si>
  <si>
    <t>0112111</t>
  </si>
  <si>
    <t>0113112</t>
  </si>
  <si>
    <t>0113121</t>
  </si>
  <si>
    <t>0117321</t>
  </si>
  <si>
    <t>0117322</t>
  </si>
  <si>
    <t>0117361</t>
  </si>
  <si>
    <t>0118110</t>
  </si>
  <si>
    <t>0118220</t>
  </si>
  <si>
    <t>0118230</t>
  </si>
  <si>
    <t>0110160</t>
  </si>
  <si>
    <t>01212146</t>
  </si>
  <si>
    <t>0117680</t>
  </si>
  <si>
    <t>0118130</t>
  </si>
  <si>
    <t>Новодністровська міська рада</t>
  </si>
  <si>
    <t>Молодь і спорт (Відділ молоді і спорту)</t>
  </si>
  <si>
    <t>0117323</t>
  </si>
  <si>
    <t>рішення 67 сесії міської ради VIІ скликання №354 від 13.12.2018 р.</t>
  </si>
  <si>
    <t>рішення 67 сесії міської ради VIІ скликання №356 від 13.12.2018 р.</t>
  </si>
  <si>
    <t>рішення 67 сесії міської ради VIІ скликання № 353 від 13.12.2018 р.</t>
  </si>
  <si>
    <t>Чернівецький обласний бюджет</t>
  </si>
  <si>
    <t>рішення 43 сесії міської ради VII скликання №306 від 30.11.2017 р.     (зі змінами)</t>
  </si>
  <si>
    <t>Разом доходів</t>
  </si>
  <si>
    <t>Найменування згідно
 з Класифікацією доходів бюджету</t>
  </si>
  <si>
    <t>Код Функціональної класифікації видатків та кредитування бюджету</t>
  </si>
  <si>
    <t>УСЬОГО</t>
  </si>
  <si>
    <t>Міжбюджетні трансферти на 2020 рік</t>
  </si>
  <si>
    <t>Розподіл коштів бюджету розвитку за об’єктами  у 2020 році</t>
  </si>
  <si>
    <t>Розподіл витрат місцевого бюджету на реалізацію місцевих / регіональних програм у 2020 році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</si>
  <si>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</si>
  <si>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</si>
  <si>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код бюджету</t>
  </si>
  <si>
    <t>0112080</t>
  </si>
  <si>
    <t>Амбулаторно-поліклінічна допомога населенню, крім первинної медичної допомоги</t>
  </si>
  <si>
    <t>Інші заходи, пов`язані з економічною діяльністю</t>
  </si>
  <si>
    <t>0813031</t>
  </si>
  <si>
    <t>Надання інших пільг окремим категоріям громадян відповідно до законодавства</t>
  </si>
  <si>
    <t>1013210</t>
  </si>
  <si>
    <t>Програма підвищення ефективності організації призову громадян до лав Збройних сил України та інших військових формувань на 2018-2020 роки</t>
  </si>
  <si>
    <t>Програма соціальної підтримки малозабезпечених верств населення "Турбота" Новодністровської ОТГ на 2020 рік</t>
  </si>
  <si>
    <t xml:space="preserve">Програма організації громадських робіт та інших робіт тимчасового характеру у Новодністровській об’єднаній територіальній громаді на 2020 рік </t>
  </si>
  <si>
    <t>рішення 88 сесії міської ради VIІ скликання № 254 від 15.11.2019 р.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</si>
  <si>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</t>
  </si>
  <si>
    <t>Субвенція з місцевого бюджету на здійснення переданих видатків у сфері охорони здоров`я за рахунок коштів медичної субвенції (цільові видатки на лікування хворих на цукровий та нецукровий діабет)</t>
  </si>
  <si>
    <t>2020-2020</t>
  </si>
  <si>
    <t>Найменування 
згідно з класифікацією фінансування бюджету</t>
  </si>
  <si>
    <t>Всього</t>
  </si>
  <si>
    <t>в т.ч. бюджет розвитку</t>
  </si>
  <si>
    <t>Загальне фінансування</t>
  </si>
  <si>
    <t xml:space="preserve">Внутрішнє фінансування </t>
  </si>
  <si>
    <t>Фінансування за рахунок залишків коштів на рахунках бюджетних установ</t>
  </si>
  <si>
    <t>На початок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</si>
  <si>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</si>
  <si>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розвику (спеціального фонду)</t>
  </si>
  <si>
    <t>…</t>
  </si>
  <si>
    <t>Фінансування за активними операціями</t>
  </si>
  <si>
    <t>Розміщення бюджетних коштів на депозитах або придбання цінних паперів</t>
  </si>
  <si>
    <t>Придбання цінних паперів</t>
  </si>
  <si>
    <t>Зміни обсягів бюджетних коштів</t>
  </si>
  <si>
    <t>Туристичний збір, сплачений фізичними особами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</si>
  <si>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</si>
  <si>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для видобування корисних копалин місцевого значення </t>
  </si>
  <si>
    <t>Акцизний податок з вироблених в Україні підакцизних товарів (продукції) </t>
  </si>
  <si>
    <t>Пальне</t>
  </si>
  <si>
    <t>Акцизний податок з реалізації суб`єктами господарювання роздрібної торгівлі підакцизних товарів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</si>
  <si>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</si>
  <si>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Придбання спеціальнирх засобів корекції психофізичного розвитку, які дають змогу дитині опанувати дошкільну навчальну програму</t>
  </si>
  <si>
    <t>Придбання спеціальнирх засобів корекції психофізичного розвитку, які дають змогу дитині опанувати шкільну навчальну програму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</si>
  <si>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</si>
  <si>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рішення 44 сесії міської ради VII скликання №317 від 14.12.2017 р.</t>
  </si>
  <si>
    <t>Міська цільова програма підтримки та розвитку комунальних засобів масової інформації Новодністровської ОТГ на 2020 рік</t>
  </si>
  <si>
    <t>Програма розвитку малого і середнього підприємництва у Новодністровській обєднаній територіальній громаді на 2019-2020 роки</t>
  </si>
  <si>
    <t>0117691</t>
  </si>
  <si>
    <t>0117693</t>
  </si>
  <si>
    <t>Міська програма підвищення якості національно-патріотичного виховання дітей та молоді  на 2018-2021 роки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</si>
  <si>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</si>
  <si>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</si>
  <si>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користування надрами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</si>
  <si>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</si>
  <si>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Субвенції з державного бюджету місцевим бюджетам</t>
  </si>
  <si>
    <t>Міська Програма забезпечення пільгової категорії громадян ОТГ м.Новодністровськ лікарськими засобами, виробами медичного призначення та відповідними харчовими продуктами для спеціального дієтичного споживання на 2020р.</t>
  </si>
  <si>
    <t>Програма утримання об’єктів та майна  комунальної власності Новодністровської територіальної громади  на 2020 рік</t>
  </si>
  <si>
    <t>Програма організації громадських робіт та інших робіт тимчасового характеру у Новодністровській об’єднаній територіальній громаді на 2020 рік</t>
  </si>
  <si>
    <t>Комплексна програма розвитку міжнародного, транскордонного співробітництва та європейської інтеграції м. Новодністровськ на 2019-2020 роки</t>
  </si>
  <si>
    <t>Заходи державної політики з питань сім'ї</t>
  </si>
  <si>
    <t>0117520</t>
  </si>
  <si>
    <t>Реалізація Національної програми інформатизації</t>
  </si>
  <si>
    <t>0617520</t>
  </si>
  <si>
    <t>0817520</t>
  </si>
  <si>
    <t>1017520</t>
  </si>
  <si>
    <t>1117520</t>
  </si>
  <si>
    <t>2717520</t>
  </si>
  <si>
    <t>3717520</t>
  </si>
  <si>
    <t>Програма нагородження відзнаками міського рівня, організація і проведення урочистих та інших заходів у Новодністровській ОТГ на 2020-2022 рр.</t>
  </si>
  <si>
    <t>Програма інформатизації діяльності Новодністровської міської ради та її виконавчих органів на 2020-2022 рр</t>
  </si>
  <si>
    <t>Усього доходів (без урахування міжбюджетних трансфертів)</t>
  </si>
  <si>
    <t xml:space="preserve">Міська програма роботи з обдарованою учнівською молоддю «Творча обдарованість» на  2020-2023  роки
</t>
  </si>
  <si>
    <t>Міська програма "Благоустрій Новодністровської ОТГ на 2020 рік"</t>
  </si>
  <si>
    <t>рішення 90 сесії міської ради VIІ скликання № 274 від 05.12.2019 р.</t>
  </si>
  <si>
    <t>Програма "Розроблення містобудівної документації на території Новодністровської об’єднаної територіальної громади на 2020-2021 роки"</t>
  </si>
  <si>
    <t>«Програма фінансової підтримки Комунального некомерційного підприємства «Новодністровська міська поліклініка» на 2019 - 2020 роки»</t>
  </si>
  <si>
    <t>Про затвердження  Програми будівництва, реконструкції та ремонту  доріг Новодністровської обʼєднаної територіальної громади на 2020-2022 роки (у новій редакції)</t>
  </si>
  <si>
    <t>Доходи місцевого бюджету на 2020 рік</t>
  </si>
  <si>
    <t>Фінансування місцевого бюджету на 2020 рік</t>
  </si>
  <si>
    <t>РОЗПОДІЛ
видатків місцевого бюджету на 2020 рік</t>
  </si>
  <si>
    <t>2716015</t>
  </si>
  <si>
    <t>0620</t>
  </si>
  <si>
    <t>Забезпечення надійної та безперебійної експлуатації ліфтів</t>
  </si>
  <si>
    <t>Придбання обладнання і предметів довгострокового використання</t>
  </si>
  <si>
    <t>Відновлення ліфтового обладнання у буд.1Г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</si>
  <si>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</si>
  <si>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</si>
  <si>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
головного розпорядника
коштів місцевого бюджету/ відповідального виконавця,
найменування бюджетної програми згідно з Типовою програмною класифікацією видатків та кредитування місцевго бюджету</t>
  </si>
  <si>
    <t>Надання загальної середньої освіти закладами загальної середньої освіти ( у тому числі з дошкільними підрозділами (відділеннями, групами))</t>
  </si>
  <si>
    <t>Надання позашкiльної освіти  закладами позашкільної освiти, заходи iз позашкiльної роботи з дiтьми</t>
  </si>
  <si>
    <t xml:space="preserve">Методичне забезпечення діяльності  закладів освіти </t>
  </si>
  <si>
    <t xml:space="preserve">Надання спеціальної освіти мистецькими школами </t>
  </si>
  <si>
    <t xml:space="preserve">Найменування
головного розпорядника
коштів місцевого бюджету/
відповідального виконавця,
найменування бюджетної програми згідно з Типовою програмною класифікацією видатків та кредитування місцевого бюджету </t>
  </si>
  <si>
    <t>Найменування
головного розпорядника
коштів місцевого бюджету/
відповідального виконавця,
найменування бюджетної програми згідно з Типовою
програмною класифікацією видатків та кредитування місцевого бюджету</t>
  </si>
  <si>
    <t>Начальник фінансового управління                                                          Валентина ФЕРСАНОВА</t>
  </si>
  <si>
    <t>Начальник фінансового управління                                              Валентина ФЕРСАНОВА</t>
  </si>
  <si>
    <t>Додаток № 1
до рішення сесії міської ради "Про місцевий бюджет Новодністровської міської ОТГ на 2020 рік" від 23.12.2019 року  № 311</t>
  </si>
  <si>
    <t>Додаток № 2
до рішення сесії міської ради "Про місцевий бюджет Новодністровської міської ОТГ на 2020 рік" від 23.12.2019 року  № 311</t>
  </si>
  <si>
    <t>Начальник фінансового управління                                                                                           Валентина ФЕРСАНОВА</t>
  </si>
  <si>
    <t>Додаток № 5
до рішення сесії міської ради "Про місцевий бюджет Новодністровської міської ОТГ на 2020 рік" від 23.12.2019 року  №311</t>
  </si>
  <si>
    <t xml:space="preserve">рішення 67сесії міської ради VII скликання №371 від 27.12.2018р. </t>
  </si>
  <si>
    <t>рішення 92 сесії міської ради VIІ скликання №310  від 23.12.2019 р.</t>
  </si>
  <si>
    <t>рішення 90 сесії міської ради VIІ скликання №301 від 05.12.2019 р.</t>
  </si>
  <si>
    <t>рішення 90 сесії міської ради VIІ скликання №300 від 05.12.2019 р.</t>
  </si>
  <si>
    <t>рішення 91 сесії міської ради VIІ скликання №307 від 18.12.2019 р.</t>
  </si>
  <si>
    <t>Начальник фінансового управління                                                                                                            Валентина ФЕРСАНОВА</t>
  </si>
  <si>
    <t>рішення 74 сесії міської ради VI скликання №235 від 22.10.2015 р. (зі змінами)</t>
  </si>
  <si>
    <t>Програма "Безпечна громада Новодністровської ОТГ на 2020 рік"</t>
  </si>
  <si>
    <t>Додаток № 6
до рішення сесії міської ради "Про місцевий бюджет Новодністровської міської ОТГ на 2020 рік" від 23.12.2019 року  № 311</t>
  </si>
  <si>
    <t>Додаток № 3
до рішення сесії міської ради "Про місцевий бюджет Новодністровської міської ОТГ на 2020 рік" від 23.12.2019 року  №311</t>
  </si>
  <si>
    <t>Додаток № 4
до рішення сесії міської ради "Про місцевий бюджет Новодністровської міської ОТГ на 2020 рік" від 23.12.2019 року  № 311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</si>
  <si>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</si>
  <si>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0119410</t>
  </si>
  <si>
    <t>код Класифікації доходів бюджету</t>
  </si>
  <si>
    <t>код Типової програмної класифікації видатків та кредитування місцевого бюджету</t>
  </si>
  <si>
    <t>Найменування об’єкта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</si>
  <si>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</si>
  <si>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
гривень</t>
  </si>
  <si>
    <t>Обсяг видатків бюджету розвитку, які спрямовуються на будівництво обєкта у бюджетному періоді,
гривень</t>
  </si>
  <si>
    <t>Рівень виконання робіт на початок бюджетного періоду, %</t>
  </si>
  <si>
    <t>Рівень
 готовності об’єкта на кінець бюджетного періоду,
%</t>
  </si>
  <si>
    <t>Начальник фінансового управління                                                                                                                                        Валентина ФЕРСАНОВА</t>
  </si>
  <si>
    <t>Начальник фінансового управління                                                                                                                                           Валентина ФЕРСАНОВА</t>
  </si>
  <si>
    <t>Програма будівництва, реконструкції, капітальних ремонтів об'єктів соціальної сфери, житлового фонду та інших об'єктів комунальної власності Новодністровської ОТГ на 2019-2020 роки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</si>
  <si>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</si>
  <si>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рішення 88 сесії міської ради VIІ скликання
 №255 від 15.11.2019 р.</t>
  </si>
  <si>
    <t xml:space="preserve">рішення 90 сесії міської ради VII скликання 
№288 від 05.12.2019 р. </t>
  </si>
  <si>
    <t>рішення 90 сесії міської ради VIІ скликання
№275 від 05.12.2019 р.</t>
  </si>
  <si>
    <t>рішення 67 сесії міської ради VIІ скликання 
№353 від 13.12.2018 р.</t>
  </si>
  <si>
    <t>рішення 88 сесії міської ради VIІ скликання 
№254 від 15.11.2019 р.</t>
  </si>
  <si>
    <t>рішення 67 сесії міської ради VIІ скликання 
№357 від 13.12.2018 р.</t>
  </si>
  <si>
    <t>рішення 90 сесії міської ради VIІ скликання 
№263 від 05.12.2019 р.</t>
  </si>
  <si>
    <t>рішення 90 сесії міської ради VIІ скликання 
№295 від 05.12.2019 р.</t>
  </si>
  <si>
    <t>рішення 90 сесії міської ради VIІ скликання 
№291 від 05.12.2019 р.</t>
  </si>
  <si>
    <t>рішення 90 сесії міської ради VIІ скликання
 №268 від 05.12.2019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</si>
</sst>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90" formatCode="* _-#,##0&quot;р.&quot;;* \-#,##0&quot;р.&quot;;* _-&quot;-&quot;&quot;р.&quot;;@"/>
    <numFmt numFmtId="192" formatCode="#,##0.0"/>
    <numFmt numFmtId="194" formatCode="0000000"/>
    <numFmt numFmtId="195" formatCode="0000&quot;     &quot;"/>
    <numFmt numFmtId="196" formatCode="0000&quot;    &quot;"/>
    <numFmt numFmtId="197" formatCode="0&quot;     &quot;"/>
    <numFmt numFmtId="198" formatCode="0&quot;    &quot;"/>
    <numFmt numFmtId="199" formatCode="#,##0_ ;\-#,##0\ "/>
  </numFmts>
  <fonts count="99" x14ac:knownFonts="1">
    <font>
      <sz val="10"/>
      <name val="Times New Roman"/>
      <charset val="204"/>
    </font>
    <font>
      <b/>
      <sz val="10"/>
      <name val="Arial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 Cyr"/>
      <charset val="204"/>
    </font>
    <font>
      <sz val="11"/>
      <name val="Arial Cyr"/>
      <charset val="204"/>
    </font>
    <font>
      <i/>
      <sz val="11"/>
      <color indexed="8"/>
      <name val="Times New Roman Cyr"/>
      <charset val="204"/>
    </font>
    <font>
      <b/>
      <sz val="11"/>
      <color indexed="8"/>
      <name val="Times New Roman CYR"/>
      <charset val="204"/>
    </font>
    <font>
      <b/>
      <i/>
      <sz val="11"/>
      <color indexed="8"/>
      <name val="Times New Roman CYR"/>
      <charset val="204"/>
    </font>
    <font>
      <sz val="16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14"/>
      <name val="Arial"/>
      <family val="2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i/>
      <sz val="14"/>
      <name val="Arial"/>
      <family val="2"/>
      <charset val="204"/>
    </font>
    <font>
      <sz val="7"/>
      <name val="Arial"/>
      <family val="2"/>
      <charset val="204"/>
    </font>
    <font>
      <sz val="14"/>
      <name val="Arial"/>
      <family val="2"/>
      <charset val="204"/>
    </font>
    <font>
      <i/>
      <sz val="7"/>
      <name val="Arial"/>
      <family val="2"/>
      <charset val="204"/>
    </font>
    <font>
      <b/>
      <i/>
      <sz val="8"/>
      <name val="Arial"/>
      <family val="2"/>
      <charset val="204"/>
    </font>
    <font>
      <b/>
      <i/>
      <sz val="14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7"/>
      <name val="Arial"/>
      <family val="2"/>
      <charset val="204"/>
    </font>
    <font>
      <b/>
      <sz val="14"/>
      <name val="Arial"/>
      <family val="2"/>
      <charset val="204"/>
    </font>
    <font>
      <b/>
      <sz val="7"/>
      <name val="Arial"/>
      <family val="2"/>
      <charset val="204"/>
    </font>
    <font>
      <b/>
      <i/>
      <sz val="7"/>
      <name val="Arial"/>
      <family val="2"/>
      <charset val="204"/>
    </font>
    <font>
      <sz val="10"/>
      <color indexed="8"/>
      <name val="Arial"/>
      <family val="2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 CYR"/>
      <charset val="204"/>
    </font>
    <font>
      <sz val="10"/>
      <name val="Times New Roman Cyr"/>
      <family val="1"/>
      <charset val="204"/>
    </font>
    <font>
      <b/>
      <sz val="14"/>
      <name val="Times New Roman Cyr"/>
      <charset val="204"/>
    </font>
    <font>
      <sz val="18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 CYR"/>
    </font>
    <font>
      <vertAlign val="superscript"/>
      <sz val="13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name val="Arial"/>
      <family val="2"/>
      <charset val="204"/>
    </font>
    <font>
      <b/>
      <vertAlign val="superscript"/>
      <sz val="2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 CYR"/>
      <charset val="204"/>
    </font>
    <font>
      <b/>
      <i/>
      <sz val="12"/>
      <name val="Times New Roman"/>
      <family val="1"/>
      <charset val="204"/>
    </font>
    <font>
      <b/>
      <sz val="8"/>
      <name val="Arial"/>
      <family val="2"/>
    </font>
    <font>
      <b/>
      <sz val="14"/>
      <name val="Arial"/>
      <family val="2"/>
    </font>
    <font>
      <sz val="10"/>
      <name val="Times New Roman"/>
      <charset val="204"/>
    </font>
    <font>
      <sz val="8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sz val="10"/>
      <name val="Arial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</font>
    <font>
      <b/>
      <u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6" fillId="7" borderId="1" applyNumberFormat="0" applyAlignment="0" applyProtection="0"/>
    <xf numFmtId="0" fontId="7" fillId="22" borderId="2" applyNumberFormat="0" applyAlignment="0" applyProtection="0"/>
    <xf numFmtId="0" fontId="14" fillId="22" borderId="1" applyNumberForma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2" fillId="0" borderId="0">
      <alignment vertical="top"/>
    </xf>
    <xf numFmtId="0" fontId="67" fillId="0" borderId="0">
      <alignment vertical="top"/>
    </xf>
    <xf numFmtId="0" fontId="32" fillId="0" borderId="0">
      <alignment vertical="top"/>
    </xf>
    <xf numFmtId="0" fontId="11" fillId="0" borderId="3" applyNumberFormat="0" applyFill="0" applyAlignment="0" applyProtection="0"/>
    <xf numFmtId="0" fontId="9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21" fillId="0" borderId="0"/>
    <xf numFmtId="0" fontId="80" fillId="0" borderId="0"/>
    <xf numFmtId="0" fontId="21" fillId="0" borderId="0"/>
    <xf numFmtId="0" fontId="20" fillId="0" borderId="0"/>
    <xf numFmtId="0" fontId="48" fillId="0" borderId="0"/>
    <xf numFmtId="0" fontId="32" fillId="0" borderId="0"/>
    <xf numFmtId="0" fontId="5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10" borderId="5" applyNumberFormat="0" applyFont="0" applyAlignment="0" applyProtection="0"/>
    <xf numFmtId="0" fontId="17" fillId="0" borderId="6" applyNumberFormat="0" applyFill="0" applyAlignment="0" applyProtection="0"/>
    <xf numFmtId="0" fontId="20" fillId="0" borderId="0"/>
    <xf numFmtId="0" fontId="8" fillId="0" borderId="0" applyNumberFormat="0" applyFill="0" applyBorder="0" applyAlignment="0" applyProtection="0"/>
    <xf numFmtId="190" fontId="1" fillId="0" borderId="0" applyFont="0" applyFill="0" applyBorder="0" applyAlignment="0" applyProtection="0"/>
    <xf numFmtId="0" fontId="4" fillId="4" borderId="0" applyNumberFormat="0" applyBorder="0" applyAlignment="0" applyProtection="0"/>
    <xf numFmtId="0" fontId="98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98" fillId="30" borderId="0" applyNumberFormat="0" applyBorder="0" applyAlignment="0" applyProtection="0"/>
    <xf numFmtId="0" fontId="98" fillId="31" borderId="0" applyNumberFormat="0" applyBorder="0" applyAlignment="0" applyProtection="0"/>
    <xf numFmtId="0" fontId="98" fillId="32" borderId="0" applyNumberFormat="0" applyBorder="0" applyAlignment="0" applyProtection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4" borderId="0" applyNumberFormat="0" applyBorder="0" applyAlignment="0" applyProtection="0"/>
  </cellStyleXfs>
  <cellXfs count="597">
    <xf numFmtId="0" fontId="0" fillId="0" borderId="0" xfId="0"/>
    <xf numFmtId="0" fontId="27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/>
    <xf numFmtId="0" fontId="2" fillId="0" borderId="0" xfId="0" applyFont="1" applyFill="1"/>
    <xf numFmtId="0" fontId="31" fillId="0" borderId="0" xfId="0" applyNumberFormat="1" applyFont="1" applyFill="1" applyAlignment="1" applyProtection="1"/>
    <xf numFmtId="0" fontId="31" fillId="0" borderId="0" xfId="0" applyFont="1" applyFill="1"/>
    <xf numFmtId="0" fontId="27" fillId="0" borderId="7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Alignment="1" applyProtection="1">
      <alignment vertical="center" wrapText="1"/>
    </xf>
    <xf numFmtId="0" fontId="27" fillId="0" borderId="7" xfId="0" applyNumberFormat="1" applyFont="1" applyFill="1" applyBorder="1" applyAlignment="1" applyProtection="1">
      <alignment vertical="center" wrapText="1"/>
    </xf>
    <xf numFmtId="0" fontId="27" fillId="0" borderId="0" xfId="0" applyNumberFormat="1" applyFont="1" applyFill="1" applyAlignment="1" applyProtection="1">
      <alignment wrapText="1"/>
    </xf>
    <xf numFmtId="0" fontId="27" fillId="0" borderId="0" xfId="0" applyFont="1" applyFill="1" applyAlignment="1">
      <alignment wrapText="1"/>
    </xf>
    <xf numFmtId="0" fontId="3" fillId="0" borderId="8" xfId="0" applyNumberFormat="1" applyFont="1" applyFill="1" applyBorder="1" applyAlignment="1" applyProtection="1">
      <alignment vertical="center"/>
    </xf>
    <xf numFmtId="0" fontId="34" fillId="0" borderId="8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Alignment="1" applyProtection="1"/>
    <xf numFmtId="0" fontId="18" fillId="0" borderId="8" xfId="0" applyFont="1" applyFill="1" applyBorder="1" applyAlignment="1">
      <alignment horizontal="center"/>
    </xf>
    <xf numFmtId="0" fontId="25" fillId="0" borderId="7" xfId="0" applyNumberFormat="1" applyFont="1" applyFill="1" applyBorder="1" applyAlignment="1" applyProtection="1">
      <alignment horizontal="center" vertical="center" wrapText="1"/>
    </xf>
    <xf numFmtId="0" fontId="36" fillId="0" borderId="7" xfId="0" applyNumberFormat="1" applyFont="1" applyFill="1" applyBorder="1" applyAlignment="1" applyProtection="1">
      <alignment horizontal="center" vertical="center" wrapText="1"/>
    </xf>
    <xf numFmtId="0" fontId="36" fillId="0" borderId="7" xfId="0" applyNumberFormat="1" applyFont="1" applyFill="1" applyBorder="1" applyAlignment="1" applyProtection="1">
      <alignment vertical="center" wrapText="1"/>
    </xf>
    <xf numFmtId="0" fontId="36" fillId="0" borderId="0" xfId="0" applyNumberFormat="1" applyFont="1" applyFill="1" applyAlignment="1" applyProtection="1">
      <alignment wrapText="1"/>
    </xf>
    <xf numFmtId="0" fontId="36" fillId="0" borderId="0" xfId="0" applyFont="1" applyFill="1" applyAlignment="1">
      <alignment wrapText="1"/>
    </xf>
    <xf numFmtId="0" fontId="33" fillId="0" borderId="7" xfId="0" applyNumberFormat="1" applyFont="1" applyFill="1" applyBorder="1" applyAlignment="1" applyProtection="1">
      <alignment horizontal="center" vertical="center" wrapText="1"/>
    </xf>
    <xf numFmtId="0" fontId="33" fillId="0" borderId="7" xfId="0" applyNumberFormat="1" applyFont="1" applyFill="1" applyBorder="1" applyAlignment="1" applyProtection="1">
      <alignment vertical="center" wrapText="1"/>
    </xf>
    <xf numFmtId="0" fontId="33" fillId="0" borderId="7" xfId="0" applyFont="1" applyBorder="1" applyAlignment="1">
      <alignment wrapText="1"/>
    </xf>
    <xf numFmtId="0" fontId="38" fillId="0" borderId="0" xfId="0" applyFont="1" applyFill="1" applyAlignment="1">
      <alignment horizontal="left"/>
    </xf>
    <xf numFmtId="0" fontId="38" fillId="0" borderId="0" xfId="0" applyFont="1" applyFill="1" applyAlignment="1">
      <alignment horizontal="left" wrapText="1"/>
    </xf>
    <xf numFmtId="0" fontId="28" fillId="0" borderId="7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left" wrapText="1"/>
    </xf>
    <xf numFmtId="0" fontId="35" fillId="0" borderId="7" xfId="0" applyFont="1" applyFill="1" applyBorder="1" applyAlignment="1">
      <alignment horizontal="center"/>
    </xf>
    <xf numFmtId="0" fontId="35" fillId="0" borderId="7" xfId="0" applyFont="1" applyFill="1" applyBorder="1" applyAlignment="1">
      <alignment horizontal="left" wrapText="1"/>
    </xf>
    <xf numFmtId="0" fontId="25" fillId="0" borderId="0" xfId="0" applyNumberFormat="1" applyFont="1" applyFill="1" applyAlignment="1" applyProtection="1">
      <alignment wrapText="1"/>
    </xf>
    <xf numFmtId="0" fontId="25" fillId="0" borderId="0" xfId="0" applyFont="1" applyFill="1" applyAlignment="1">
      <alignment wrapText="1"/>
    </xf>
    <xf numFmtId="0" fontId="37" fillId="0" borderId="7" xfId="0" applyFont="1" applyFill="1" applyBorder="1" applyAlignment="1">
      <alignment horizontal="center"/>
    </xf>
    <xf numFmtId="0" fontId="37" fillId="0" borderId="7" xfId="0" applyFont="1" applyFill="1" applyBorder="1" applyAlignment="1">
      <alignment horizontal="left" wrapText="1"/>
    </xf>
    <xf numFmtId="0" fontId="33" fillId="0" borderId="0" xfId="0" applyNumberFormat="1" applyFont="1" applyFill="1" applyAlignment="1" applyProtection="1">
      <alignment wrapText="1"/>
    </xf>
    <xf numFmtId="0" fontId="33" fillId="0" borderId="0" xfId="0" applyFont="1" applyFill="1" applyAlignment="1">
      <alignment wrapText="1"/>
    </xf>
    <xf numFmtId="0" fontId="38" fillId="0" borderId="7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left" wrapText="1"/>
    </xf>
    <xf numFmtId="0" fontId="27" fillId="0" borderId="7" xfId="57" applyFont="1" applyBorder="1" applyAlignment="1">
      <alignment wrapText="1"/>
    </xf>
    <xf numFmtId="0" fontId="27" fillId="0" borderId="7" xfId="57" applyFont="1" applyBorder="1" applyAlignment="1">
      <alignment horizontal="center" vertical="center" wrapText="1"/>
    </xf>
    <xf numFmtId="0" fontId="25" fillId="0" borderId="7" xfId="0" applyNumberFormat="1" applyFont="1" applyFill="1" applyBorder="1" applyAlignment="1" applyProtection="1">
      <alignment vertical="center" wrapText="1"/>
    </xf>
    <xf numFmtId="0" fontId="40" fillId="0" borderId="0" xfId="0" applyFont="1" applyFill="1" applyAlignment="1">
      <alignment horizontal="left" wrapText="1"/>
    </xf>
    <xf numFmtId="0" fontId="39" fillId="0" borderId="0" xfId="57" applyFont="1" applyBorder="1"/>
    <xf numFmtId="0" fontId="41" fillId="0" borderId="0" xfId="0" applyFont="1" applyFill="1" applyAlignment="1">
      <alignment horizontal="left"/>
    </xf>
    <xf numFmtId="0" fontId="41" fillId="0" borderId="0" xfId="0" applyFont="1" applyFill="1" applyAlignment="1">
      <alignment horizontal="left" wrapText="1"/>
    </xf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left" wrapText="1"/>
    </xf>
    <xf numFmtId="0" fontId="31" fillId="0" borderId="0" xfId="0" applyNumberFormat="1" applyFont="1" applyFill="1" applyAlignment="1" applyProtection="1">
      <alignment wrapText="1"/>
    </xf>
    <xf numFmtId="0" fontId="31" fillId="0" borderId="0" xfId="0" applyFont="1" applyFill="1" applyAlignment="1">
      <alignment wrapText="1"/>
    </xf>
    <xf numFmtId="0" fontId="40" fillId="0" borderId="0" xfId="0" applyFont="1" applyFill="1" applyAlignment="1">
      <alignment horizontal="left"/>
    </xf>
    <xf numFmtId="3" fontId="29" fillId="0" borderId="7" xfId="0" applyNumberFormat="1" applyFont="1" applyFill="1" applyBorder="1" applyAlignment="1" applyProtection="1">
      <alignment horizontal="right" vertical="center" wrapText="1"/>
    </xf>
    <xf numFmtId="3" fontId="30" fillId="0" borderId="7" xfId="0" applyNumberFormat="1" applyFont="1" applyBorder="1" applyAlignment="1">
      <alignment vertical="center" wrapText="1"/>
    </xf>
    <xf numFmtId="3" fontId="37" fillId="0" borderId="7" xfId="0" applyNumberFormat="1" applyFont="1" applyBorder="1" applyAlignment="1">
      <alignment vertical="center" wrapText="1"/>
    </xf>
    <xf numFmtId="3" fontId="27" fillId="0" borderId="9" xfId="0" applyNumberFormat="1" applyFont="1" applyFill="1" applyBorder="1" applyAlignment="1" applyProtection="1">
      <alignment vertical="center" wrapText="1"/>
    </xf>
    <xf numFmtId="3" fontId="28" fillId="0" borderId="7" xfId="0" applyNumberFormat="1" applyFont="1" applyBorder="1" applyAlignment="1">
      <alignment vertical="center" wrapText="1"/>
    </xf>
    <xf numFmtId="3" fontId="35" fillId="0" borderId="7" xfId="0" applyNumberFormat="1" applyFont="1" applyBorder="1" applyAlignment="1">
      <alignment vertical="center" wrapText="1"/>
    </xf>
    <xf numFmtId="3" fontId="27" fillId="0" borderId="7" xfId="0" applyNumberFormat="1" applyFont="1" applyFill="1" applyBorder="1" applyAlignment="1" applyProtection="1">
      <alignment horizontal="right" vertical="center" wrapText="1"/>
    </xf>
    <xf numFmtId="3" fontId="33" fillId="0" borderId="7" xfId="0" applyNumberFormat="1" applyFont="1" applyFill="1" applyBorder="1" applyAlignment="1" applyProtection="1">
      <alignment horizontal="right" vertical="center" wrapText="1"/>
    </xf>
    <xf numFmtId="3" fontId="31" fillId="0" borderId="7" xfId="0" applyNumberFormat="1" applyFont="1" applyFill="1" applyBorder="1" applyAlignment="1" applyProtection="1">
      <alignment horizontal="right" vertical="center" wrapText="1"/>
    </xf>
    <xf numFmtId="0" fontId="29" fillId="0" borderId="0" xfId="0" applyNumberFormat="1" applyFont="1" applyFill="1" applyAlignment="1" applyProtection="1">
      <alignment wrapText="1"/>
    </xf>
    <xf numFmtId="0" fontId="29" fillId="0" borderId="0" xfId="0" applyFont="1" applyFill="1" applyAlignment="1">
      <alignment wrapText="1"/>
    </xf>
    <xf numFmtId="0" fontId="43" fillId="0" borderId="0" xfId="0" applyNumberFormat="1" applyFont="1" applyFill="1" applyAlignment="1" applyProtection="1">
      <alignment wrapText="1"/>
    </xf>
    <xf numFmtId="0" fontId="43" fillId="0" borderId="0" xfId="0" applyFont="1" applyFill="1" applyAlignment="1">
      <alignment wrapText="1"/>
    </xf>
    <xf numFmtId="3" fontId="19" fillId="0" borderId="7" xfId="0" applyNumberFormat="1" applyFont="1" applyFill="1" applyBorder="1" applyAlignment="1" applyProtection="1">
      <alignment horizontal="right" vertical="center" wrapText="1"/>
    </xf>
    <xf numFmtId="3" fontId="44" fillId="0" borderId="7" xfId="0" applyNumberFormat="1" applyFont="1" applyBorder="1" applyAlignment="1">
      <alignment vertical="center" wrapText="1"/>
    </xf>
    <xf numFmtId="3" fontId="25" fillId="0" borderId="7" xfId="0" applyNumberFormat="1" applyFont="1" applyFill="1" applyBorder="1" applyAlignment="1" applyProtection="1">
      <alignment horizontal="right" vertical="center" wrapText="1"/>
    </xf>
    <xf numFmtId="3" fontId="36" fillId="0" borderId="7" xfId="0" applyNumberFormat="1" applyFont="1" applyFill="1" applyBorder="1" applyAlignment="1" applyProtection="1">
      <alignment horizontal="right" vertical="center" wrapText="1"/>
    </xf>
    <xf numFmtId="0" fontId="27" fillId="0" borderId="7" xfId="0" applyFont="1" applyBorder="1" applyAlignment="1">
      <alignment wrapText="1"/>
    </xf>
    <xf numFmtId="3" fontId="45" fillId="0" borderId="7" xfId="0" applyNumberFormat="1" applyFont="1" applyFill="1" applyBorder="1" applyAlignment="1" applyProtection="1">
      <alignment horizontal="right" vertical="center" wrapText="1"/>
    </xf>
    <xf numFmtId="3" fontId="46" fillId="0" borderId="7" xfId="0" applyNumberFormat="1" applyFont="1" applyFill="1" applyBorder="1" applyAlignment="1" applyProtection="1">
      <alignment horizontal="right" vertical="center" wrapText="1"/>
    </xf>
    <xf numFmtId="3" fontId="33" fillId="0" borderId="9" xfId="0" applyNumberFormat="1" applyFont="1" applyFill="1" applyBorder="1" applyAlignment="1" applyProtection="1">
      <alignment vertical="center" wrapText="1"/>
    </xf>
    <xf numFmtId="0" fontId="33" fillId="0" borderId="0" xfId="0" applyNumberFormat="1" applyFont="1" applyFill="1" applyAlignment="1" applyProtection="1">
      <alignment vertical="center" wrapText="1"/>
    </xf>
    <xf numFmtId="3" fontId="33" fillId="0" borderId="7" xfId="0" applyNumberFormat="1" applyFont="1" applyFill="1" applyBorder="1" applyAlignment="1" applyProtection="1">
      <alignment vertical="center" wrapText="1"/>
    </xf>
    <xf numFmtId="0" fontId="29" fillId="0" borderId="0" xfId="0" applyNumberFormat="1" applyFont="1" applyFill="1" applyAlignment="1" applyProtection="1">
      <alignment vertical="center" wrapText="1"/>
    </xf>
    <xf numFmtId="0" fontId="29" fillId="0" borderId="0" xfId="0" applyFont="1" applyFill="1" applyAlignment="1">
      <alignment vertical="center" wrapText="1"/>
    </xf>
    <xf numFmtId="0" fontId="27" fillId="0" borderId="0" xfId="59" applyFont="1" applyFill="1" applyAlignment="1">
      <alignment horizontal="left"/>
    </xf>
    <xf numFmtId="3" fontId="48" fillId="0" borderId="0" xfId="59" applyNumberFormat="1" applyFill="1" applyAlignment="1">
      <alignment horizontal="left"/>
    </xf>
    <xf numFmtId="0" fontId="48" fillId="0" borderId="0" xfId="59" applyFill="1" applyAlignment="1">
      <alignment horizontal="left"/>
    </xf>
    <xf numFmtId="0" fontId="26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49" fillId="0" borderId="0" xfId="59" applyFont="1" applyFill="1" applyAlignment="1">
      <alignment horizontal="left"/>
    </xf>
    <xf numFmtId="0" fontId="52" fillId="0" borderId="0" xfId="59" applyFont="1" applyFill="1" applyAlignment="1">
      <alignment horizontal="left"/>
    </xf>
    <xf numFmtId="0" fontId="27" fillId="0" borderId="7" xfId="59" applyNumberFormat="1" applyFont="1" applyFill="1" applyBorder="1" applyAlignment="1">
      <alignment horizontal="left" vertical="justify" wrapText="1"/>
    </xf>
    <xf numFmtId="0" fontId="50" fillId="0" borderId="0" xfId="59" applyFont="1" applyFill="1" applyAlignment="1">
      <alignment horizontal="left"/>
    </xf>
    <xf numFmtId="0" fontId="53" fillId="0" borderId="0" xfId="59" applyFont="1" applyFill="1" applyAlignment="1">
      <alignment horizontal="left"/>
    </xf>
    <xf numFmtId="49" fontId="27" fillId="0" borderId="7" xfId="59" applyNumberFormat="1" applyFont="1" applyFill="1" applyBorder="1" applyAlignment="1">
      <alignment horizontal="center" vertical="center"/>
    </xf>
    <xf numFmtId="197" fontId="27" fillId="0" borderId="7" xfId="59" applyNumberFormat="1" applyFont="1" applyFill="1" applyBorder="1" applyAlignment="1">
      <alignment horizontal="center" vertical="center" wrapText="1"/>
    </xf>
    <xf numFmtId="196" fontId="27" fillId="0" borderId="7" xfId="59" applyNumberFormat="1" applyFont="1" applyFill="1" applyBorder="1" applyAlignment="1">
      <alignment horizontal="center" vertical="center" wrapText="1"/>
    </xf>
    <xf numFmtId="197" fontId="33" fillId="0" borderId="7" xfId="59" applyNumberFormat="1" applyFont="1" applyFill="1" applyBorder="1" applyAlignment="1">
      <alignment horizontal="center" vertical="center" wrapText="1"/>
    </xf>
    <xf numFmtId="196" fontId="33" fillId="0" borderId="7" xfId="59" applyNumberFormat="1" applyFont="1" applyFill="1" applyBorder="1" applyAlignment="1">
      <alignment horizontal="center" vertical="center" wrapText="1"/>
    </xf>
    <xf numFmtId="0" fontId="58" fillId="0" borderId="0" xfId="59" applyFont="1" applyFill="1" applyAlignment="1">
      <alignment horizontal="left"/>
    </xf>
    <xf numFmtId="0" fontId="55" fillId="0" borderId="0" xfId="59" applyFont="1" applyFill="1" applyAlignment="1">
      <alignment horizontal="left"/>
    </xf>
    <xf numFmtId="0" fontId="56" fillId="0" borderId="0" xfId="59" applyFont="1" applyFill="1" applyAlignment="1">
      <alignment horizontal="left"/>
    </xf>
    <xf numFmtId="0" fontId="57" fillId="0" borderId="0" xfId="59" applyFont="1" applyFill="1" applyAlignment="1">
      <alignment horizontal="left"/>
    </xf>
    <xf numFmtId="0" fontId="54" fillId="0" borderId="0" xfId="59" applyFont="1" applyFill="1" applyAlignment="1">
      <alignment horizontal="left"/>
    </xf>
    <xf numFmtId="3" fontId="33" fillId="0" borderId="7" xfId="59" applyNumberFormat="1" applyFont="1" applyFill="1" applyBorder="1" applyAlignment="1">
      <alignment horizontal="center"/>
    </xf>
    <xf numFmtId="3" fontId="27" fillId="24" borderId="9" xfId="0" applyNumberFormat="1" applyFont="1" applyFill="1" applyBorder="1" applyAlignment="1" applyProtection="1">
      <alignment vertical="center" wrapText="1"/>
    </xf>
    <xf numFmtId="0" fontId="48" fillId="0" borderId="0" xfId="59" applyFont="1" applyFill="1" applyAlignment="1">
      <alignment horizontal="left"/>
    </xf>
    <xf numFmtId="0" fontId="59" fillId="0" borderId="0" xfId="59" applyFont="1" applyFill="1" applyAlignment="1">
      <alignment horizontal="left"/>
    </xf>
    <xf numFmtId="0" fontId="60" fillId="0" borderId="0" xfId="59" applyFont="1" applyFill="1" applyAlignment="1">
      <alignment horizontal="left"/>
    </xf>
    <xf numFmtId="3" fontId="2" fillId="0" borderId="0" xfId="0" applyNumberFormat="1" applyFont="1" applyFill="1" applyAlignment="1" applyProtection="1"/>
    <xf numFmtId="3" fontId="28" fillId="24" borderId="7" xfId="0" applyNumberFormat="1" applyFont="1" applyFill="1" applyBorder="1" applyAlignment="1">
      <alignment vertical="center" wrapText="1"/>
    </xf>
    <xf numFmtId="3" fontId="37" fillId="24" borderId="7" xfId="0" applyNumberFormat="1" applyFont="1" applyFill="1" applyBorder="1" applyAlignment="1">
      <alignment vertical="center" wrapText="1"/>
    </xf>
    <xf numFmtId="3" fontId="35" fillId="24" borderId="7" xfId="0" applyNumberFormat="1" applyFont="1" applyFill="1" applyBorder="1" applyAlignment="1">
      <alignment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37" fillId="0" borderId="7" xfId="0" applyFont="1" applyFill="1" applyBorder="1" applyAlignment="1">
      <alignment horizontal="left" vertical="center" wrapText="1"/>
    </xf>
    <xf numFmtId="0" fontId="36" fillId="0" borderId="0" xfId="0" applyNumberFormat="1" applyFont="1" applyFill="1" applyAlignment="1" applyProtection="1">
      <alignment horizontal="left" wrapText="1"/>
    </xf>
    <xf numFmtId="0" fontId="36" fillId="0" borderId="0" xfId="0" applyFont="1" applyFill="1" applyAlignment="1">
      <alignment horizontal="left" wrapText="1"/>
    </xf>
    <xf numFmtId="0" fontId="27" fillId="0" borderId="0" xfId="59" applyFont="1" applyFill="1" applyAlignment="1">
      <alignment horizontal="left" vertical="justify"/>
    </xf>
    <xf numFmtId="0" fontId="51" fillId="0" borderId="0" xfId="59" applyFont="1" applyFill="1" applyAlignment="1">
      <alignment horizontal="left"/>
    </xf>
    <xf numFmtId="3" fontId="25" fillId="0" borderId="7" xfId="59" applyNumberFormat="1" applyFont="1" applyFill="1" applyBorder="1" applyAlignment="1">
      <alignment horizontal="center"/>
    </xf>
    <xf numFmtId="0" fontId="33" fillId="0" borderId="7" xfId="59" applyNumberFormat="1" applyFont="1" applyFill="1" applyBorder="1" applyAlignment="1">
      <alignment horizontal="center"/>
    </xf>
    <xf numFmtId="2" fontId="33" fillId="0" borderId="7" xfId="59" applyNumberFormat="1" applyFont="1" applyFill="1" applyBorder="1" applyAlignment="1">
      <alignment horizontal="center"/>
    </xf>
    <xf numFmtId="0" fontId="48" fillId="0" borderId="0" xfId="59" applyFill="1"/>
    <xf numFmtId="0" fontId="51" fillId="0" borderId="0" xfId="59" applyFont="1" applyFill="1"/>
    <xf numFmtId="0" fontId="48" fillId="0" borderId="0" xfId="59" applyFill="1" applyAlignment="1">
      <alignment horizontal="left" vertical="justify"/>
    </xf>
    <xf numFmtId="0" fontId="48" fillId="0" borderId="0" xfId="59" applyFont="1" applyFill="1"/>
    <xf numFmtId="0" fontId="61" fillId="0" borderId="0" xfId="59" applyFont="1" applyFill="1" applyAlignment="1">
      <alignment horizontal="left"/>
    </xf>
    <xf numFmtId="0" fontId="62" fillId="0" borderId="0" xfId="59" applyFont="1" applyFill="1" applyAlignment="1">
      <alignment horizontal="left"/>
    </xf>
    <xf numFmtId="0" fontId="25" fillId="0" borderId="7" xfId="59" applyNumberFormat="1" applyFont="1" applyFill="1" applyBorder="1" applyAlignment="1">
      <alignment horizontal="center"/>
    </xf>
    <xf numFmtId="197" fontId="25" fillId="0" borderId="7" xfId="59" applyNumberFormat="1" applyFont="1" applyFill="1" applyBorder="1" applyAlignment="1">
      <alignment horizontal="center" vertical="center" wrapText="1"/>
    </xf>
    <xf numFmtId="196" fontId="25" fillId="0" borderId="7" xfId="59" applyNumberFormat="1" applyFont="1" applyFill="1" applyBorder="1" applyAlignment="1">
      <alignment horizontal="center" vertical="center" wrapText="1"/>
    </xf>
    <xf numFmtId="0" fontId="63" fillId="0" borderId="0" xfId="59" applyFont="1" applyFill="1" applyAlignment="1">
      <alignment horizontal="left"/>
    </xf>
    <xf numFmtId="0" fontId="64" fillId="0" borderId="0" xfId="59" applyFont="1" applyFill="1" applyAlignment="1">
      <alignment horizontal="left"/>
    </xf>
    <xf numFmtId="0" fontId="65" fillId="0" borderId="0" xfId="59" applyFont="1" applyFill="1" applyAlignment="1">
      <alignment horizontal="left"/>
    </xf>
    <xf numFmtId="0" fontId="66" fillId="0" borderId="0" xfId="59" applyFont="1" applyFill="1" applyAlignment="1">
      <alignment horizontal="left"/>
    </xf>
    <xf numFmtId="2" fontId="25" fillId="0" borderId="7" xfId="59" applyNumberFormat="1" applyFont="1" applyFill="1" applyBorder="1" applyAlignment="1">
      <alignment horizontal="center"/>
    </xf>
    <xf numFmtId="3" fontId="62" fillId="0" borderId="0" xfId="59" applyNumberFormat="1" applyFont="1" applyFill="1" applyAlignment="1">
      <alignment horizontal="left"/>
    </xf>
    <xf numFmtId="0" fontId="23" fillId="0" borderId="7" xfId="0" applyNumberFormat="1" applyFont="1" applyFill="1" applyBorder="1" applyAlignment="1" applyProtection="1">
      <alignment horizontal="center" vertical="center" wrapText="1"/>
    </xf>
    <xf numFmtId="0" fontId="76" fillId="0" borderId="7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/>
    <xf numFmtId="0" fontId="18" fillId="0" borderId="0" xfId="0" applyFont="1" applyFill="1" applyBorder="1"/>
    <xf numFmtId="0" fontId="21" fillId="0" borderId="0" xfId="0" applyFont="1" applyFill="1"/>
    <xf numFmtId="0" fontId="72" fillId="0" borderId="0" xfId="0" applyFont="1" applyFill="1" applyAlignment="1">
      <alignment horizontal="center" vertical="center" wrapText="1"/>
    </xf>
    <xf numFmtId="0" fontId="18" fillId="0" borderId="8" xfId="0" applyFont="1" applyFill="1" applyBorder="1"/>
    <xf numFmtId="0" fontId="74" fillId="0" borderId="0" xfId="0" applyFont="1" applyFill="1" applyBorder="1" applyAlignment="1">
      <alignment horizontal="center" vertical="center" wrapText="1"/>
    </xf>
    <xf numFmtId="0" fontId="75" fillId="0" borderId="0" xfId="0" applyFont="1" applyFill="1" applyBorder="1" applyAlignment="1">
      <alignment horizontal="center" vertical="center" wrapText="1"/>
    </xf>
    <xf numFmtId="0" fontId="23" fillId="0" borderId="0" xfId="0" applyFont="1" applyFill="1"/>
    <xf numFmtId="2" fontId="18" fillId="0" borderId="0" xfId="0" applyNumberFormat="1" applyFont="1" applyFill="1"/>
    <xf numFmtId="0" fontId="69" fillId="0" borderId="8" xfId="0" applyNumberFormat="1" applyFont="1" applyFill="1" applyBorder="1" applyAlignment="1" applyProtection="1">
      <alignment horizontal="center"/>
    </xf>
    <xf numFmtId="0" fontId="18" fillId="0" borderId="0" xfId="0" applyFont="1" applyFill="1" applyBorder="1" applyAlignment="1">
      <alignment horizontal="center"/>
    </xf>
    <xf numFmtId="0" fontId="69" fillId="0" borderId="0" xfId="0" applyNumberFormat="1" applyFont="1" applyFill="1" applyBorder="1" applyAlignment="1" applyProtection="1">
      <alignment horizontal="center" vertical="top"/>
    </xf>
    <xf numFmtId="0" fontId="23" fillId="24" borderId="10" xfId="0" applyNumberFormat="1" applyFont="1" applyFill="1" applyBorder="1" applyAlignment="1" applyProtection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8" fillId="24" borderId="0" xfId="0" applyFont="1" applyFill="1"/>
    <xf numFmtId="0" fontId="23" fillId="0" borderId="0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vertical="center" wrapText="1"/>
    </xf>
    <xf numFmtId="0" fontId="76" fillId="0" borderId="0" xfId="0" applyFont="1" applyFill="1" applyBorder="1" applyAlignment="1">
      <alignment horizontal="center" vertical="center" wrapText="1"/>
    </xf>
    <xf numFmtId="49" fontId="69" fillId="0" borderId="0" xfId="0" applyNumberFormat="1" applyFont="1" applyFill="1" applyBorder="1" applyAlignment="1">
      <alignment horizontal="center" vertical="center" wrapText="1"/>
    </xf>
    <xf numFmtId="0" fontId="73" fillId="0" borderId="0" xfId="0" applyFont="1" applyFill="1" applyAlignment="1">
      <alignment vertical="center" wrapText="1"/>
    </xf>
    <xf numFmtId="0" fontId="19" fillId="0" borderId="7" xfId="0" applyNumberFormat="1" applyFont="1" applyFill="1" applyBorder="1" applyAlignment="1" applyProtection="1">
      <alignment horizontal="center" vertical="center" wrapText="1"/>
    </xf>
    <xf numFmtId="0" fontId="56" fillId="0" borderId="0" xfId="59" applyFont="1" applyFill="1" applyAlignment="1">
      <alignment horizontal="center" vertical="center"/>
    </xf>
    <xf numFmtId="0" fontId="79" fillId="0" borderId="0" xfId="0" applyFont="1" applyFill="1"/>
    <xf numFmtId="3" fontId="28" fillId="0" borderId="7" xfId="48" applyNumberFormat="1" applyFont="1" applyFill="1" applyBorder="1" applyAlignment="1">
      <alignment vertical="center" wrapText="1"/>
    </xf>
    <xf numFmtId="3" fontId="30" fillId="25" borderId="7" xfId="48" applyNumberFormat="1" applyFont="1" applyFill="1" applyBorder="1" applyAlignment="1">
      <alignment vertical="center" wrapText="1"/>
    </xf>
    <xf numFmtId="0" fontId="38" fillId="0" borderId="7" xfId="0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left" vertical="top" wrapText="1"/>
    </xf>
    <xf numFmtId="0" fontId="27" fillId="0" borderId="9" xfId="0" applyFont="1" applyFill="1" applyBorder="1" applyAlignment="1">
      <alignment horizontal="left" vertical="center" wrapText="1"/>
    </xf>
    <xf numFmtId="0" fontId="27" fillId="0" borderId="7" xfId="57" applyFont="1" applyBorder="1" applyAlignment="1">
      <alignment vertical="top" wrapText="1"/>
    </xf>
    <xf numFmtId="0" fontId="35" fillId="0" borderId="7" xfId="56" applyFont="1" applyBorder="1" applyAlignment="1">
      <alignment horizontal="center" vertical="center"/>
    </xf>
    <xf numFmtId="0" fontId="35" fillId="0" borderId="7" xfId="56" applyFont="1" applyBorder="1" applyAlignment="1">
      <alignment wrapText="1"/>
    </xf>
    <xf numFmtId="0" fontId="28" fillId="0" borderId="7" xfId="56" applyFont="1" applyBorder="1" applyAlignment="1">
      <alignment horizontal="center" vertical="center"/>
    </xf>
    <xf numFmtId="0" fontId="28" fillId="0" borderId="7" xfId="56" applyFont="1" applyBorder="1" applyAlignment="1">
      <alignment wrapText="1"/>
    </xf>
    <xf numFmtId="3" fontId="28" fillId="0" borderId="7" xfId="0" applyNumberFormat="1" applyFont="1" applyFill="1" applyBorder="1" applyAlignment="1">
      <alignment vertical="center" wrapText="1"/>
    </xf>
    <xf numFmtId="3" fontId="25" fillId="0" borderId="7" xfId="0" applyNumberFormat="1" applyFont="1" applyFill="1" applyBorder="1" applyAlignment="1" applyProtection="1">
      <alignment vertical="center" wrapText="1"/>
    </xf>
    <xf numFmtId="3" fontId="36" fillId="0" borderId="7" xfId="0" applyNumberFormat="1" applyFont="1" applyFill="1" applyBorder="1" applyAlignment="1" applyProtection="1">
      <alignment vertical="center" wrapText="1"/>
    </xf>
    <xf numFmtId="3" fontId="27" fillId="0" borderId="7" xfId="0" applyNumberFormat="1" applyFont="1" applyFill="1" applyBorder="1" applyAlignment="1" applyProtection="1">
      <alignment vertical="center" wrapText="1"/>
    </xf>
    <xf numFmtId="0" fontId="28" fillId="0" borderId="7" xfId="0" applyFont="1" applyFill="1" applyBorder="1" applyAlignment="1">
      <alignment horizontal="left" vertical="top" wrapText="1"/>
    </xf>
    <xf numFmtId="0" fontId="25" fillId="0" borderId="7" xfId="0" applyNumberFormat="1" applyFont="1" applyFill="1" applyBorder="1" applyAlignment="1" applyProtection="1">
      <alignment horizontal="left" vertical="center" wrapText="1"/>
    </xf>
    <xf numFmtId="0" fontId="36" fillId="0" borderId="7" xfId="0" applyNumberFormat="1" applyFont="1" applyFill="1" applyBorder="1" applyAlignment="1" applyProtection="1">
      <alignment horizontal="left" vertical="center" wrapText="1"/>
    </xf>
    <xf numFmtId="0" fontId="27" fillId="0" borderId="7" xfId="0" applyNumberFormat="1" applyFont="1" applyFill="1" applyBorder="1" applyAlignment="1" applyProtection="1">
      <alignment horizontal="left" vertical="center" wrapText="1"/>
    </xf>
    <xf numFmtId="0" fontId="23" fillId="0" borderId="7" xfId="0" applyFont="1" applyFill="1" applyBorder="1" applyAlignment="1">
      <alignment horizontal="center" wrapText="1"/>
    </xf>
    <xf numFmtId="49" fontId="23" fillId="0" borderId="7" xfId="0" applyNumberFormat="1" applyFont="1" applyFill="1" applyBorder="1" applyAlignment="1">
      <alignment horizontal="center" vertical="center" wrapText="1"/>
    </xf>
    <xf numFmtId="3" fontId="30" fillId="0" borderId="7" xfId="48" applyNumberFormat="1" applyFont="1" applyFill="1" applyBorder="1" applyAlignment="1">
      <alignment horizontal="center" vertical="center"/>
    </xf>
    <xf numFmtId="1" fontId="25" fillId="26" borderId="7" xfId="59" applyNumberFormat="1" applyFont="1" applyFill="1" applyBorder="1" applyAlignment="1">
      <alignment horizontal="center" vertical="center" wrapText="1"/>
    </xf>
    <xf numFmtId="0" fontId="25" fillId="26" borderId="7" xfId="59" applyNumberFormat="1" applyFont="1" applyFill="1" applyBorder="1" applyAlignment="1">
      <alignment horizontal="center" vertical="center"/>
    </xf>
    <xf numFmtId="3" fontId="30" fillId="26" borderId="7" xfId="48" applyNumberFormat="1" applyFont="1" applyFill="1" applyBorder="1" applyAlignment="1">
      <alignment vertical="center" wrapText="1"/>
    </xf>
    <xf numFmtId="3" fontId="30" fillId="26" borderId="7" xfId="48" applyNumberFormat="1" applyFont="1" applyFill="1" applyBorder="1" applyAlignment="1">
      <alignment horizontal="center" vertical="center"/>
    </xf>
    <xf numFmtId="49" fontId="25" fillId="26" borderId="7" xfId="59" applyNumberFormat="1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left" vertical="center"/>
    </xf>
    <xf numFmtId="3" fontId="79" fillId="0" borderId="0" xfId="0" applyNumberFormat="1" applyFont="1" applyFill="1" applyAlignment="1" applyProtection="1"/>
    <xf numFmtId="3" fontId="28" fillId="0" borderId="7" xfId="48" applyNumberFormat="1" applyFont="1" applyFill="1" applyBorder="1" applyAlignment="1">
      <alignment horizontal="center" vertical="center"/>
    </xf>
    <xf numFmtId="3" fontId="57" fillId="0" borderId="0" xfId="59" applyNumberFormat="1" applyFont="1" applyFill="1" applyAlignment="1">
      <alignment horizontal="left"/>
    </xf>
    <xf numFmtId="3" fontId="81" fillId="0" borderId="0" xfId="59" applyNumberFormat="1" applyFont="1" applyFill="1" applyAlignment="1">
      <alignment horizontal="left"/>
    </xf>
    <xf numFmtId="194" fontId="25" fillId="26" borderId="7" xfId="0" applyNumberFormat="1" applyFont="1" applyFill="1" applyBorder="1" applyAlignment="1">
      <alignment horizontal="center" vertical="top" wrapText="1"/>
    </xf>
    <xf numFmtId="0" fontId="19" fillId="26" borderId="7" xfId="59" applyNumberFormat="1" applyFont="1" applyFill="1" applyBorder="1" applyAlignment="1">
      <alignment horizontal="center" vertical="center"/>
    </xf>
    <xf numFmtId="0" fontId="19" fillId="26" borderId="7" xfId="59" applyNumberFormat="1" applyFont="1" applyFill="1" applyBorder="1" applyAlignment="1">
      <alignment horizontal="left" vertical="justify" wrapText="1"/>
    </xf>
    <xf numFmtId="194" fontId="25" fillId="26" borderId="7" xfId="59" applyNumberFormat="1" applyFont="1" applyFill="1" applyBorder="1" applyAlignment="1">
      <alignment horizontal="center" vertical="center" wrapText="1"/>
    </xf>
    <xf numFmtId="3" fontId="30" fillId="26" borderId="7" xfId="48" applyNumberFormat="1" applyFont="1" applyFill="1" applyBorder="1" applyAlignment="1">
      <alignment vertical="center"/>
    </xf>
    <xf numFmtId="2" fontId="23" fillId="0" borderId="7" xfId="0" applyNumberFormat="1" applyFont="1" applyFill="1" applyBorder="1" applyAlignment="1">
      <alignment horizontal="center" vertical="center" wrapText="1"/>
    </xf>
    <xf numFmtId="192" fontId="23" fillId="0" borderId="7" xfId="49" applyNumberFormat="1" applyFont="1" applyFill="1" applyBorder="1" applyAlignment="1">
      <alignment horizontal="center" vertical="center"/>
    </xf>
    <xf numFmtId="3" fontId="23" fillId="0" borderId="7" xfId="49" applyNumberFormat="1" applyFont="1" applyFill="1" applyBorder="1" applyAlignment="1">
      <alignment horizontal="center" vertical="center"/>
    </xf>
    <xf numFmtId="0" fontId="23" fillId="0" borderId="7" xfId="59" applyNumberFormat="1" applyFont="1" applyFill="1" applyBorder="1" applyAlignment="1">
      <alignment horizontal="left" vertical="justify" wrapText="1"/>
    </xf>
    <xf numFmtId="49" fontId="23" fillId="0" borderId="7" xfId="59" applyNumberFormat="1" applyFont="1" applyFill="1" applyBorder="1" applyAlignment="1">
      <alignment horizontal="center" vertical="center"/>
    </xf>
    <xf numFmtId="197" fontId="23" fillId="0" borderId="7" xfId="59" applyNumberFormat="1" applyFont="1" applyFill="1" applyBorder="1" applyAlignment="1">
      <alignment horizontal="center" vertical="center" wrapText="1"/>
    </xf>
    <xf numFmtId="196" fontId="23" fillId="0" borderId="7" xfId="59" applyNumberFormat="1" applyFont="1" applyFill="1" applyBorder="1" applyAlignment="1">
      <alignment horizontal="center" vertical="center" wrapText="1"/>
    </xf>
    <xf numFmtId="1" fontId="23" fillId="0" borderId="7" xfId="59" applyNumberFormat="1" applyFont="1" applyFill="1" applyBorder="1" applyAlignment="1">
      <alignment horizontal="center" vertical="center"/>
    </xf>
    <xf numFmtId="195" fontId="23" fillId="0" borderId="7" xfId="59" applyNumberFormat="1" applyFont="1" applyFill="1" applyBorder="1" applyAlignment="1">
      <alignment horizontal="center" vertical="center" wrapText="1"/>
    </xf>
    <xf numFmtId="192" fontId="23" fillId="0" borderId="7" xfId="49" applyNumberFormat="1" applyFont="1" applyFill="1" applyBorder="1" applyAlignment="1">
      <alignment horizontal="center" vertical="center" wrapText="1"/>
    </xf>
    <xf numFmtId="0" fontId="19" fillId="26" borderId="7" xfId="0" applyNumberFormat="1" applyFont="1" applyFill="1" applyBorder="1" applyAlignment="1">
      <alignment horizontal="center" vertical="top"/>
    </xf>
    <xf numFmtId="0" fontId="19" fillId="26" borderId="10" xfId="0" applyNumberFormat="1" applyFont="1" applyFill="1" applyBorder="1" applyAlignment="1" applyProtection="1">
      <alignment horizontal="center" vertical="center" wrapText="1"/>
    </xf>
    <xf numFmtId="192" fontId="19" fillId="26" borderId="7" xfId="49" applyNumberFormat="1" applyFont="1" applyFill="1" applyBorder="1" applyAlignment="1">
      <alignment horizontal="center" vertical="center"/>
    </xf>
    <xf numFmtId="3" fontId="19" fillId="26" borderId="7" xfId="49" applyNumberFormat="1" applyFont="1" applyFill="1" applyBorder="1" applyAlignment="1">
      <alignment horizontal="center" vertical="center"/>
    </xf>
    <xf numFmtId="3" fontId="19" fillId="26" borderId="7" xfId="59" applyNumberFormat="1" applyFont="1" applyFill="1" applyBorder="1" applyAlignment="1">
      <alignment horizontal="center"/>
    </xf>
    <xf numFmtId="192" fontId="19" fillId="26" borderId="7" xfId="59" applyNumberFormat="1" applyFont="1" applyFill="1" applyBorder="1" applyAlignment="1">
      <alignment horizontal="center" vertical="justify" wrapText="1"/>
    </xf>
    <xf numFmtId="192" fontId="19" fillId="0" borderId="7" xfId="0" applyNumberFormat="1" applyFont="1" applyFill="1" applyBorder="1" applyAlignment="1" applyProtection="1">
      <alignment horizontal="center" vertical="center" wrapText="1"/>
    </xf>
    <xf numFmtId="192" fontId="19" fillId="26" borderId="7" xfId="0" applyNumberFormat="1" applyFont="1" applyFill="1" applyBorder="1" applyAlignment="1">
      <alignment horizontal="center" vertical="top" wrapText="1"/>
    </xf>
    <xf numFmtId="192" fontId="23" fillId="0" borderId="7" xfId="59" applyNumberFormat="1" applyFont="1" applyFill="1" applyBorder="1" applyAlignment="1">
      <alignment horizontal="center"/>
    </xf>
    <xf numFmtId="192" fontId="23" fillId="0" borderId="7" xfId="59" applyNumberFormat="1" applyFont="1" applyFill="1" applyBorder="1" applyAlignment="1">
      <alignment horizontal="center" vertical="center" wrapText="1"/>
    </xf>
    <xf numFmtId="0" fontId="49" fillId="26" borderId="0" xfId="59" applyFont="1" applyFill="1" applyAlignment="1">
      <alignment horizontal="left"/>
    </xf>
    <xf numFmtId="0" fontId="52" fillId="26" borderId="0" xfId="59" applyFont="1" applyFill="1" applyAlignment="1">
      <alignment horizontal="left"/>
    </xf>
    <xf numFmtId="0" fontId="65" fillId="26" borderId="0" xfId="59" applyFont="1" applyFill="1" applyAlignment="1">
      <alignment horizontal="left"/>
    </xf>
    <xf numFmtId="0" fontId="19" fillId="26" borderId="7" xfId="0" applyNumberFormat="1" applyFont="1" applyFill="1" applyBorder="1" applyAlignment="1">
      <alignment horizontal="left" vertical="top" wrapText="1"/>
    </xf>
    <xf numFmtId="3" fontId="19" fillId="26" borderId="7" xfId="0" applyNumberFormat="1" applyFont="1" applyFill="1" applyBorder="1" applyAlignment="1">
      <alignment horizontal="center"/>
    </xf>
    <xf numFmtId="0" fontId="62" fillId="26" borderId="0" xfId="59" applyFont="1" applyFill="1" applyAlignment="1">
      <alignment horizontal="left"/>
    </xf>
    <xf numFmtId="3" fontId="37" fillId="0" borderId="7" xfId="0" applyNumberFormat="1" applyFont="1" applyFill="1" applyBorder="1" applyAlignment="1">
      <alignment vertical="center" wrapText="1"/>
    </xf>
    <xf numFmtId="3" fontId="35" fillId="0" borderId="7" xfId="0" applyNumberFormat="1" applyFont="1" applyFill="1" applyBorder="1" applyAlignment="1">
      <alignment vertical="center" wrapText="1"/>
    </xf>
    <xf numFmtId="3" fontId="44" fillId="0" borderId="7" xfId="0" applyNumberFormat="1" applyFont="1" applyFill="1" applyBorder="1" applyAlignment="1">
      <alignment vertical="center" wrapText="1"/>
    </xf>
    <xf numFmtId="0" fontId="27" fillId="0" borderId="7" xfId="0" applyFont="1" applyFill="1" applyBorder="1" applyAlignment="1">
      <alignment horizontal="center" vertical="center"/>
    </xf>
    <xf numFmtId="0" fontId="79" fillId="24" borderId="0" xfId="0" applyFont="1" applyFill="1"/>
    <xf numFmtId="192" fontId="23" fillId="24" borderId="7" xfId="49" applyNumberFormat="1" applyFont="1" applyFill="1" applyBorder="1" applyAlignment="1">
      <alignment horizontal="center" vertical="center" wrapText="1"/>
    </xf>
    <xf numFmtId="3" fontId="23" fillId="24" borderId="7" xfId="49" applyNumberFormat="1" applyFont="1" applyFill="1" applyBorder="1" applyAlignment="1">
      <alignment horizontal="center" vertical="center"/>
    </xf>
    <xf numFmtId="0" fontId="23" fillId="0" borderId="7" xfId="59" applyNumberFormat="1" applyFont="1" applyFill="1" applyBorder="1" applyAlignment="1">
      <alignment horizontal="left" vertical="center" wrapText="1"/>
    </xf>
    <xf numFmtId="192" fontId="23" fillId="24" borderId="7" xfId="59" applyNumberFormat="1" applyFont="1" applyFill="1" applyBorder="1" applyAlignment="1">
      <alignment horizontal="center" vertical="justify" wrapText="1"/>
    </xf>
    <xf numFmtId="0" fontId="78" fillId="24" borderId="0" xfId="0" applyNumberFormat="1" applyFont="1" applyFill="1" applyBorder="1" applyAlignment="1" applyProtection="1">
      <alignment horizontal="left" vertical="center" wrapText="1"/>
    </xf>
    <xf numFmtId="0" fontId="23" fillId="24" borderId="0" xfId="0" applyNumberFormat="1" applyFont="1" applyFill="1" applyBorder="1" applyAlignment="1" applyProtection="1">
      <alignment horizontal="left" vertical="center" wrapText="1"/>
    </xf>
    <xf numFmtId="0" fontId="30" fillId="26" borderId="7" xfId="0" applyFont="1" applyFill="1" applyBorder="1" applyAlignment="1">
      <alignment horizontal="center" vertical="center"/>
    </xf>
    <xf numFmtId="0" fontId="30" fillId="26" borderId="7" xfId="0" applyFont="1" applyFill="1" applyBorder="1" applyAlignment="1">
      <alignment horizontal="left" vertical="center" wrapText="1"/>
    </xf>
    <xf numFmtId="3" fontId="25" fillId="26" borderId="7" xfId="0" applyNumberFormat="1" applyFont="1" applyFill="1" applyBorder="1" applyAlignment="1" applyProtection="1">
      <alignment vertical="center" wrapText="1"/>
    </xf>
    <xf numFmtId="3" fontId="30" fillId="26" borderId="7" xfId="0" applyNumberFormat="1" applyFont="1" applyFill="1" applyBorder="1" applyAlignment="1">
      <alignment vertical="center" wrapText="1"/>
    </xf>
    <xf numFmtId="0" fontId="29" fillId="26" borderId="7" xfId="0" applyNumberFormat="1" applyFont="1" applyFill="1" applyBorder="1" applyAlignment="1" applyProtection="1">
      <alignment horizontal="center" vertical="center" wrapText="1"/>
    </xf>
    <xf numFmtId="0" fontId="29" fillId="26" borderId="7" xfId="0" applyNumberFormat="1" applyFont="1" applyFill="1" applyBorder="1" applyAlignment="1" applyProtection="1">
      <alignment horizontal="left" vertical="center" wrapText="1"/>
    </xf>
    <xf numFmtId="3" fontId="29" fillId="26" borderId="7" xfId="0" applyNumberFormat="1" applyFont="1" applyFill="1" applyBorder="1" applyAlignment="1" applyProtection="1">
      <alignment horizontal="right" vertical="center" wrapText="1"/>
    </xf>
    <xf numFmtId="0" fontId="19" fillId="26" borderId="7" xfId="59" applyNumberFormat="1" applyFont="1" applyFill="1" applyBorder="1" applyAlignment="1">
      <alignment horizontal="center" vertical="justify" wrapText="1"/>
    </xf>
    <xf numFmtId="3" fontId="28" fillId="0" borderId="9" xfId="0" applyNumberFormat="1" applyFont="1" applyBorder="1" applyAlignment="1">
      <alignment vertical="center" wrapText="1"/>
    </xf>
    <xf numFmtId="3" fontId="36" fillId="0" borderId="0" xfId="0" applyNumberFormat="1" applyFont="1" applyFill="1" applyBorder="1" applyAlignment="1" applyProtection="1">
      <alignment wrapText="1"/>
    </xf>
    <xf numFmtId="0" fontId="36" fillId="0" borderId="0" xfId="0" applyNumberFormat="1" applyFont="1" applyFill="1" applyBorder="1" applyAlignment="1" applyProtection="1">
      <alignment wrapText="1"/>
    </xf>
    <xf numFmtId="0" fontId="36" fillId="0" borderId="0" xfId="0" applyNumberFormat="1" applyFont="1" applyFill="1" applyBorder="1" applyAlignment="1" applyProtection="1">
      <alignment horizontal="left" wrapText="1"/>
    </xf>
    <xf numFmtId="3" fontId="28" fillId="0" borderId="0" xfId="0" applyNumberFormat="1" applyFont="1" applyBorder="1" applyAlignment="1">
      <alignment vertical="center" wrapText="1"/>
    </xf>
    <xf numFmtId="0" fontId="27" fillId="0" borderId="0" xfId="0" applyNumberFormat="1" applyFont="1" applyFill="1" applyBorder="1" applyAlignment="1" applyProtection="1">
      <alignment wrapText="1"/>
    </xf>
    <xf numFmtId="3" fontId="35" fillId="0" borderId="0" xfId="0" applyNumberFormat="1" applyFont="1" applyBorder="1" applyAlignment="1">
      <alignment vertical="center" wrapText="1"/>
    </xf>
    <xf numFmtId="0" fontId="27" fillId="0" borderId="0" xfId="0" applyFont="1" applyFill="1"/>
    <xf numFmtId="0" fontId="27" fillId="0" borderId="0" xfId="0" applyFont="1" applyFill="1" applyAlignment="1">
      <alignment vertical="center"/>
    </xf>
    <xf numFmtId="0" fontId="27" fillId="0" borderId="0" xfId="0" applyNumberFormat="1" applyFont="1" applyFill="1" applyAlignment="1" applyProtection="1"/>
    <xf numFmtId="0" fontId="27" fillId="26" borderId="0" xfId="0" applyFont="1" applyFill="1"/>
    <xf numFmtId="0" fontId="25" fillId="26" borderId="7" xfId="59" applyNumberFormat="1" applyFont="1" applyFill="1" applyBorder="1" applyAlignment="1">
      <alignment horizontal="left" vertical="justify" wrapText="1"/>
    </xf>
    <xf numFmtId="0" fontId="25" fillId="26" borderId="0" xfId="0" applyFont="1" applyFill="1"/>
    <xf numFmtId="3" fontId="25" fillId="0" borderId="7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/>
    <xf numFmtId="49" fontId="27" fillId="24" borderId="0" xfId="0" applyNumberFormat="1" applyFont="1" applyFill="1" applyBorder="1" applyAlignment="1" applyProtection="1">
      <alignment horizontal="left" vertical="top" wrapText="1"/>
    </xf>
    <xf numFmtId="0" fontId="27" fillId="24" borderId="0" xfId="0" applyNumberFormat="1" applyFont="1" applyFill="1" applyBorder="1" applyAlignment="1" applyProtection="1">
      <alignment horizontal="left" vertical="center" wrapText="1"/>
    </xf>
    <xf numFmtId="1" fontId="28" fillId="0" borderId="7" xfId="65" applyNumberFormat="1" applyFont="1" applyFill="1" applyBorder="1" applyAlignment="1">
      <alignment horizontal="center" vertical="center" wrapText="1"/>
    </xf>
    <xf numFmtId="1" fontId="28" fillId="25" borderId="7" xfId="65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Alignment="1" applyProtection="1">
      <alignment horizontal="center"/>
    </xf>
    <xf numFmtId="0" fontId="44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left" vertical="center" wrapText="1"/>
    </xf>
    <xf numFmtId="49" fontId="23" fillId="0" borderId="0" xfId="0" applyNumberFormat="1" applyFont="1" applyFill="1" applyBorder="1" applyAlignment="1">
      <alignment horizontal="center" vertical="center" wrapText="1"/>
    </xf>
    <xf numFmtId="3" fontId="19" fillId="0" borderId="7" xfId="0" applyNumberFormat="1" applyFont="1" applyFill="1" applyBorder="1" applyAlignment="1">
      <alignment horizontal="center" vertical="center" wrapText="1"/>
    </xf>
    <xf numFmtId="0" fontId="82" fillId="0" borderId="0" xfId="0" applyFont="1" applyFill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3" fontId="25" fillId="26" borderId="7" xfId="0" applyNumberFormat="1" applyFont="1" applyFill="1" applyBorder="1" applyAlignment="1" applyProtection="1">
      <alignment horizontal="right" vertical="center" wrapText="1"/>
    </xf>
    <xf numFmtId="0" fontId="24" fillId="0" borderId="0" xfId="0" applyNumberFormat="1" applyFont="1" applyFill="1" applyBorder="1" applyAlignment="1" applyProtection="1">
      <alignment horizontal="center" vertical="top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5" fillId="26" borderId="0" xfId="0" applyNumberFormat="1" applyFont="1" applyFill="1" applyAlignment="1" applyProtection="1">
      <alignment vertical="center" wrapText="1"/>
    </xf>
    <xf numFmtId="0" fontId="25" fillId="26" borderId="0" xfId="0" applyFont="1" applyFill="1" applyAlignment="1">
      <alignment vertical="center" wrapText="1"/>
    </xf>
    <xf numFmtId="0" fontId="44" fillId="0" borderId="7" xfId="0" applyFont="1" applyFill="1" applyBorder="1" applyAlignment="1">
      <alignment horizontal="left" vertical="center" wrapText="1"/>
    </xf>
    <xf numFmtId="0" fontId="19" fillId="0" borderId="0" xfId="0" applyNumberFormat="1" applyFont="1" applyFill="1" applyAlignment="1" applyProtection="1">
      <alignment vertical="center" wrapText="1"/>
    </xf>
    <xf numFmtId="0" fontId="19" fillId="0" borderId="0" xfId="0" applyFont="1" applyFill="1" applyAlignment="1">
      <alignment vertical="center" wrapText="1"/>
    </xf>
    <xf numFmtId="0" fontId="48" fillId="0" borderId="0" xfId="59" applyFill="1" applyAlignment="1">
      <alignment vertical="center"/>
    </xf>
    <xf numFmtId="49" fontId="23" fillId="0" borderId="7" xfId="0" applyNumberFormat="1" applyFont="1" applyFill="1" applyBorder="1" applyAlignment="1">
      <alignment vertical="center" wrapText="1"/>
    </xf>
    <xf numFmtId="197" fontId="23" fillId="0" borderId="7" xfId="59" applyNumberFormat="1" applyFont="1" applyFill="1" applyBorder="1" applyAlignment="1">
      <alignment vertical="center" wrapText="1"/>
    </xf>
    <xf numFmtId="196" fontId="23" fillId="0" borderId="7" xfId="59" applyNumberFormat="1" applyFont="1" applyFill="1" applyBorder="1" applyAlignment="1">
      <alignment vertical="center" wrapText="1"/>
    </xf>
    <xf numFmtId="0" fontId="23" fillId="0" borderId="7" xfId="59" applyNumberFormat="1" applyFont="1" applyFill="1" applyBorder="1" applyAlignment="1">
      <alignment vertical="center" wrapText="1"/>
    </xf>
    <xf numFmtId="0" fontId="19" fillId="0" borderId="11" xfId="59" applyNumberFormat="1" applyFont="1" applyFill="1" applyBorder="1" applyAlignment="1">
      <alignment horizontal="center" vertical="center"/>
    </xf>
    <xf numFmtId="0" fontId="84" fillId="0" borderId="7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Alignment="1" applyProtection="1"/>
    <xf numFmtId="0" fontId="24" fillId="0" borderId="0" xfId="59" applyNumberFormat="1" applyFont="1" applyFill="1" applyAlignment="1">
      <alignment horizontal="center" vertical="center" wrapText="1"/>
    </xf>
    <xf numFmtId="0" fontId="27" fillId="24" borderId="9" xfId="0" applyNumberFormat="1" applyFont="1" applyFill="1" applyBorder="1" applyAlignment="1" applyProtection="1">
      <alignment horizontal="center" vertical="center" wrapText="1"/>
    </xf>
    <xf numFmtId="0" fontId="73" fillId="0" borderId="0" xfId="0" applyFont="1" applyFill="1" applyAlignment="1">
      <alignment horizontal="center" vertical="center" wrapText="1"/>
    </xf>
    <xf numFmtId="0" fontId="26" fillId="0" borderId="0" xfId="0" applyNumberFormat="1" applyFont="1" applyFill="1" applyAlignment="1" applyProtection="1">
      <alignment horizontal="left" vertical="center"/>
    </xf>
    <xf numFmtId="0" fontId="19" fillId="0" borderId="0" xfId="0" applyNumberFormat="1" applyFont="1" applyFill="1" applyAlignment="1" applyProtection="1">
      <alignment horizontal="left" vertical="center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194" fontId="19" fillId="26" borderId="13" xfId="0" applyNumberFormat="1" applyFont="1" applyFill="1" applyBorder="1" applyAlignment="1">
      <alignment horizontal="center" vertical="top" wrapText="1"/>
    </xf>
    <xf numFmtId="194" fontId="19" fillId="26" borderId="13" xfId="59" applyNumberFormat="1" applyFont="1" applyFill="1" applyBorder="1" applyAlignment="1">
      <alignment horizontal="center" vertical="center" wrapText="1"/>
    </xf>
    <xf numFmtId="3" fontId="25" fillId="0" borderId="14" xfId="59" applyNumberFormat="1" applyFont="1" applyFill="1" applyBorder="1" applyAlignment="1">
      <alignment horizontal="center"/>
    </xf>
    <xf numFmtId="194" fontId="25" fillId="0" borderId="13" xfId="59" applyNumberFormat="1" applyFont="1" applyFill="1" applyBorder="1" applyAlignment="1">
      <alignment horizontal="center" vertical="center"/>
    </xf>
    <xf numFmtId="194" fontId="33" fillId="0" borderId="13" xfId="59" applyNumberFormat="1" applyFont="1" applyFill="1" applyBorder="1" applyAlignment="1">
      <alignment horizontal="center" vertical="center"/>
    </xf>
    <xf numFmtId="49" fontId="19" fillId="26" borderId="13" xfId="59" applyNumberFormat="1" applyFont="1" applyFill="1" applyBorder="1" applyAlignment="1">
      <alignment horizontal="center" vertical="center" wrapText="1"/>
    </xf>
    <xf numFmtId="1" fontId="19" fillId="26" borderId="13" xfId="59" applyNumberFormat="1" applyFont="1" applyFill="1" applyBorder="1" applyAlignment="1">
      <alignment horizontal="center" vertical="center" wrapText="1"/>
    </xf>
    <xf numFmtId="0" fontId="27" fillId="24" borderId="15" xfId="0" applyNumberFormat="1" applyFont="1" applyFill="1" applyBorder="1" applyAlignment="1" applyProtection="1">
      <alignment horizontal="center" vertical="center" wrapText="1"/>
    </xf>
    <xf numFmtId="0" fontId="27" fillId="24" borderId="16" xfId="0" applyNumberFormat="1" applyFont="1" applyFill="1" applyBorder="1" applyAlignment="1" applyProtection="1">
      <alignment horizontal="center" vertical="center" wrapText="1"/>
    </xf>
    <xf numFmtId="194" fontId="19" fillId="26" borderId="13" xfId="0" applyNumberFormat="1" applyFont="1" applyFill="1" applyBorder="1" applyAlignment="1">
      <alignment horizontal="center" vertical="center" wrapText="1"/>
    </xf>
    <xf numFmtId="0" fontId="19" fillId="26" borderId="7" xfId="0" applyNumberFormat="1" applyFont="1" applyFill="1" applyBorder="1" applyAlignment="1">
      <alignment horizontal="center" vertical="center"/>
    </xf>
    <xf numFmtId="0" fontId="19" fillId="26" borderId="7" xfId="0" applyNumberFormat="1" applyFont="1" applyFill="1" applyBorder="1" applyAlignment="1">
      <alignment horizontal="center" vertical="center" wrapText="1"/>
    </xf>
    <xf numFmtId="3" fontId="19" fillId="26" borderId="7" xfId="0" applyNumberFormat="1" applyFont="1" applyFill="1" applyBorder="1" applyAlignment="1">
      <alignment horizontal="center" vertical="center"/>
    </xf>
    <xf numFmtId="3" fontId="19" fillId="26" borderId="14" xfId="0" applyNumberFormat="1" applyFont="1" applyFill="1" applyBorder="1" applyAlignment="1">
      <alignment horizontal="center" vertical="center"/>
    </xf>
    <xf numFmtId="3" fontId="19" fillId="26" borderId="0" xfId="0" applyNumberFormat="1" applyFont="1" applyFill="1" applyBorder="1" applyAlignment="1">
      <alignment horizontal="center" vertical="center"/>
    </xf>
    <xf numFmtId="0" fontId="19" fillId="26" borderId="0" xfId="0" applyFont="1" applyFill="1" applyBorder="1" applyAlignment="1">
      <alignment horizontal="left" vertical="center"/>
    </xf>
    <xf numFmtId="0" fontId="19" fillId="26" borderId="0" xfId="0" applyFont="1" applyFill="1" applyAlignment="1">
      <alignment horizontal="left" vertical="center"/>
    </xf>
    <xf numFmtId="3" fontId="19" fillId="26" borderId="7" xfId="59" applyNumberFormat="1" applyFont="1" applyFill="1" applyBorder="1" applyAlignment="1">
      <alignment horizontal="center" vertical="center"/>
    </xf>
    <xf numFmtId="0" fontId="62" fillId="26" borderId="0" xfId="59" applyFont="1" applyFill="1" applyAlignment="1">
      <alignment horizontal="left" vertical="center"/>
    </xf>
    <xf numFmtId="0" fontId="19" fillId="26" borderId="7" xfId="59" applyNumberFormat="1" applyFont="1" applyFill="1" applyBorder="1" applyAlignment="1">
      <alignment vertical="center" wrapText="1"/>
    </xf>
    <xf numFmtId="3" fontId="19" fillId="26" borderId="7" xfId="59" applyNumberFormat="1" applyFont="1" applyFill="1" applyBorder="1" applyAlignment="1">
      <alignment vertical="center"/>
    </xf>
    <xf numFmtId="0" fontId="65" fillId="26" borderId="0" xfId="59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/>
    </xf>
    <xf numFmtId="1" fontId="85" fillId="0" borderId="7" xfId="0" applyNumberFormat="1" applyFont="1" applyFill="1" applyBorder="1" applyAlignment="1">
      <alignment horizontal="center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2" fontId="19" fillId="0" borderId="7" xfId="0" applyNumberFormat="1" applyFont="1" applyFill="1" applyBorder="1" applyAlignment="1">
      <alignment horizontal="center" vertical="center" wrapText="1"/>
    </xf>
    <xf numFmtId="1" fontId="23" fillId="0" borderId="7" xfId="0" applyNumberFormat="1" applyFont="1" applyFill="1" applyBorder="1" applyAlignment="1">
      <alignment horizontal="center" vertical="center" wrapText="1"/>
    </xf>
    <xf numFmtId="1" fontId="19" fillId="0" borderId="7" xfId="0" applyNumberFormat="1" applyFont="1" applyFill="1" applyBorder="1" applyAlignment="1">
      <alignment horizontal="center" vertical="center" wrapText="1"/>
    </xf>
    <xf numFmtId="49" fontId="23" fillId="0" borderId="13" xfId="59" applyNumberFormat="1" applyFont="1" applyFill="1" applyBorder="1" applyAlignment="1">
      <alignment horizontal="center" vertical="center"/>
    </xf>
    <xf numFmtId="194" fontId="19" fillId="0" borderId="13" xfId="59" applyNumberFormat="1" applyFont="1" applyFill="1" applyBorder="1" applyAlignment="1">
      <alignment horizontal="center" vertical="center" wrapText="1"/>
    </xf>
    <xf numFmtId="0" fontId="19" fillId="0" borderId="7" xfId="59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left" vertical="top" wrapText="1"/>
    </xf>
    <xf numFmtId="192" fontId="19" fillId="0" borderId="7" xfId="59" applyNumberFormat="1" applyFont="1" applyFill="1" applyBorder="1" applyAlignment="1">
      <alignment horizontal="center" vertical="justify" wrapText="1"/>
    </xf>
    <xf numFmtId="192" fontId="19" fillId="0" borderId="7" xfId="49" applyNumberFormat="1" applyFont="1" applyFill="1" applyBorder="1" applyAlignment="1">
      <alignment horizontal="center" vertical="center"/>
    </xf>
    <xf numFmtId="1" fontId="19" fillId="0" borderId="17" xfId="59" applyNumberFormat="1" applyFont="1" applyFill="1" applyBorder="1" applyAlignment="1">
      <alignment horizontal="center" vertical="center" wrapText="1"/>
    </xf>
    <xf numFmtId="0" fontId="19" fillId="0" borderId="7" xfId="59" applyNumberFormat="1" applyFont="1" applyFill="1" applyBorder="1" applyAlignment="1">
      <alignment horizontal="center" vertical="justify" wrapText="1"/>
    </xf>
    <xf numFmtId="0" fontId="19" fillId="0" borderId="7" xfId="59" applyNumberFormat="1" applyFont="1" applyFill="1" applyBorder="1" applyAlignment="1">
      <alignment horizontal="left" vertical="justify" wrapText="1"/>
    </xf>
    <xf numFmtId="3" fontId="23" fillId="0" borderId="7" xfId="59" applyNumberFormat="1" applyFont="1" applyFill="1" applyBorder="1" applyAlignment="1">
      <alignment horizontal="center" vertical="center" wrapText="1"/>
    </xf>
    <xf numFmtId="4" fontId="23" fillId="0" borderId="7" xfId="59" applyNumberFormat="1" applyFont="1" applyFill="1" applyBorder="1" applyAlignment="1">
      <alignment horizontal="center" vertical="center" wrapText="1"/>
    </xf>
    <xf numFmtId="3" fontId="23" fillId="0" borderId="7" xfId="59" applyNumberFormat="1" applyFont="1" applyFill="1" applyBorder="1" applyAlignment="1">
      <alignment horizontal="center" vertical="center"/>
    </xf>
    <xf numFmtId="194" fontId="23" fillId="0" borderId="13" xfId="59" applyNumberFormat="1" applyFont="1" applyFill="1" applyBorder="1" applyAlignment="1">
      <alignment horizontal="center" vertical="center"/>
    </xf>
    <xf numFmtId="199" fontId="23" fillId="0" borderId="7" xfId="67" applyNumberFormat="1" applyFont="1" applyFill="1" applyBorder="1" applyAlignment="1">
      <alignment horizontal="center"/>
    </xf>
    <xf numFmtId="0" fontId="23" fillId="0" borderId="7" xfId="59" applyNumberFormat="1" applyFont="1" applyFill="1" applyBorder="1" applyAlignment="1">
      <alignment horizontal="center"/>
    </xf>
    <xf numFmtId="3" fontId="23" fillId="0" borderId="7" xfId="59" applyNumberFormat="1" applyFont="1" applyFill="1" applyBorder="1" applyAlignment="1">
      <alignment horizontal="center"/>
    </xf>
    <xf numFmtId="49" fontId="23" fillId="0" borderId="13" xfId="0" applyNumberFormat="1" applyFont="1" applyFill="1" applyBorder="1" applyAlignment="1">
      <alignment horizontal="center" vertical="center" wrapText="1"/>
    </xf>
    <xf numFmtId="3" fontId="23" fillId="0" borderId="14" xfId="59" applyNumberFormat="1" applyFont="1" applyFill="1" applyBorder="1" applyAlignment="1">
      <alignment horizontal="center"/>
    </xf>
    <xf numFmtId="0" fontId="23" fillId="0" borderId="7" xfId="59" applyNumberFormat="1" applyFont="1" applyFill="1" applyBorder="1" applyAlignment="1">
      <alignment horizontal="center" vertical="center"/>
    </xf>
    <xf numFmtId="0" fontId="23" fillId="0" borderId="7" xfId="59" applyNumberFormat="1" applyFont="1" applyFill="1" applyBorder="1" applyAlignment="1">
      <alignment horizontal="left" vertical="top" wrapText="1"/>
    </xf>
    <xf numFmtId="0" fontId="23" fillId="0" borderId="7" xfId="0" quotePrefix="1" applyFont="1" applyFill="1" applyBorder="1" applyAlignment="1">
      <alignment horizontal="center" vertical="center" wrapText="1"/>
    </xf>
    <xf numFmtId="2" fontId="23" fillId="0" borderId="7" xfId="0" quotePrefix="1" applyNumberFormat="1" applyFont="1" applyFill="1" applyBorder="1" applyAlignment="1">
      <alignment horizontal="center" vertical="center" wrapText="1"/>
    </xf>
    <xf numFmtId="0" fontId="23" fillId="0" borderId="7" xfId="59" applyNumberFormat="1" applyFont="1" applyFill="1" applyBorder="1" applyAlignment="1">
      <alignment horizontal="center" vertical="center" wrapText="1"/>
    </xf>
    <xf numFmtId="3" fontId="19" fillId="26" borderId="14" xfId="59" applyNumberFormat="1" applyFont="1" applyFill="1" applyBorder="1" applyAlignment="1">
      <alignment vertical="center"/>
    </xf>
    <xf numFmtId="0" fontId="66" fillId="26" borderId="0" xfId="59" applyFont="1" applyFill="1" applyAlignment="1">
      <alignment vertical="center"/>
    </xf>
    <xf numFmtId="0" fontId="60" fillId="26" borderId="0" xfId="59" applyFont="1" applyFill="1" applyAlignment="1">
      <alignment vertical="center"/>
    </xf>
    <xf numFmtId="0" fontId="63" fillId="26" borderId="0" xfId="59" applyFont="1" applyFill="1" applyAlignment="1">
      <alignment vertical="center"/>
    </xf>
    <xf numFmtId="0" fontId="64" fillId="26" borderId="0" xfId="59" applyFont="1" applyFill="1" applyAlignment="1">
      <alignment vertical="center"/>
    </xf>
    <xf numFmtId="0" fontId="50" fillId="0" borderId="0" xfId="59" applyFont="1" applyFill="1" applyAlignment="1">
      <alignment horizontal="center" vertical="center"/>
    </xf>
    <xf numFmtId="0" fontId="53" fillId="0" borderId="0" xfId="59" applyFont="1" applyFill="1" applyAlignment="1">
      <alignment horizontal="center" vertical="center"/>
    </xf>
    <xf numFmtId="4" fontId="23" fillId="0" borderId="7" xfId="59" applyNumberFormat="1" applyFont="1" applyFill="1" applyBorder="1" applyAlignment="1">
      <alignment horizontal="center"/>
    </xf>
    <xf numFmtId="3" fontId="19" fillId="26" borderId="14" xfId="59" applyNumberFormat="1" applyFont="1" applyFill="1" applyBorder="1" applyAlignment="1">
      <alignment horizontal="center"/>
    </xf>
    <xf numFmtId="198" fontId="23" fillId="0" borderId="7" xfId="59" applyNumberFormat="1" applyFont="1" applyFill="1" applyBorder="1" applyAlignment="1">
      <alignment horizontal="center" vertical="center" wrapText="1"/>
    </xf>
    <xf numFmtId="1" fontId="23" fillId="0" borderId="18" xfId="59" applyNumberFormat="1" applyFont="1" applyFill="1" applyBorder="1" applyAlignment="1">
      <alignment horizontal="center" vertical="center"/>
    </xf>
    <xf numFmtId="0" fontId="23" fillId="0" borderId="10" xfId="59" applyNumberFormat="1" applyFont="1" applyFill="1" applyBorder="1" applyAlignment="1">
      <alignment horizontal="center" vertical="center"/>
    </xf>
    <xf numFmtId="196" fontId="23" fillId="0" borderId="10" xfId="59" applyNumberFormat="1" applyFont="1" applyFill="1" applyBorder="1" applyAlignment="1">
      <alignment horizontal="center" vertical="center" wrapText="1"/>
    </xf>
    <xf numFmtId="0" fontId="19" fillId="0" borderId="19" xfId="59" applyNumberFormat="1" applyFont="1" applyFill="1" applyBorder="1" applyAlignment="1">
      <alignment horizontal="center" vertical="center"/>
    </xf>
    <xf numFmtId="3" fontId="19" fillId="0" borderId="20" xfId="59" applyNumberFormat="1" applyFont="1" applyFill="1" applyBorder="1" applyAlignment="1">
      <alignment horizontal="center" vertical="center"/>
    </xf>
    <xf numFmtId="3" fontId="19" fillId="0" borderId="12" xfId="59" applyNumberFormat="1" applyFont="1" applyFill="1" applyBorder="1" applyAlignment="1">
      <alignment horizontal="center" vertical="center"/>
    </xf>
    <xf numFmtId="1" fontId="23" fillId="0" borderId="13" xfId="59" applyNumberFormat="1" applyFont="1" applyFill="1" applyBorder="1" applyAlignment="1">
      <alignment horizontal="center" vertical="center"/>
    </xf>
    <xf numFmtId="2" fontId="23" fillId="0" borderId="7" xfId="59" applyNumberFormat="1" applyFont="1" applyFill="1" applyBorder="1" applyAlignment="1">
      <alignment horizontal="center"/>
    </xf>
    <xf numFmtId="1" fontId="23" fillId="0" borderId="7" xfId="59" applyNumberFormat="1" applyFont="1" applyFill="1" applyBorder="1" applyAlignment="1">
      <alignment horizontal="center"/>
    </xf>
    <xf numFmtId="0" fontId="66" fillId="26" borderId="0" xfId="59" applyFont="1" applyFill="1" applyAlignment="1">
      <alignment horizontal="left"/>
    </xf>
    <xf numFmtId="0" fontId="60" fillId="26" borderId="0" xfId="59" applyFont="1" applyFill="1" applyAlignment="1">
      <alignment horizontal="left"/>
    </xf>
    <xf numFmtId="0" fontId="63" fillId="26" borderId="0" xfId="59" applyFont="1" applyFill="1" applyAlignment="1">
      <alignment horizontal="left"/>
    </xf>
    <xf numFmtId="0" fontId="64" fillId="26" borderId="0" xfId="59" applyFont="1" applyFill="1" applyAlignment="1">
      <alignment horizontal="left"/>
    </xf>
    <xf numFmtId="0" fontId="87" fillId="0" borderId="0" xfId="59" applyFont="1" applyFill="1" applyAlignment="1">
      <alignment horizontal="center" vertical="center"/>
    </xf>
    <xf numFmtId="0" fontId="88" fillId="0" borderId="0" xfId="59" applyFont="1" applyFill="1" applyAlignment="1">
      <alignment horizontal="center" vertical="center"/>
    </xf>
    <xf numFmtId="0" fontId="91" fillId="0" borderId="0" xfId="65" applyNumberFormat="1" applyFont="1" applyFill="1" applyAlignment="1" applyProtection="1"/>
    <xf numFmtId="0" fontId="91" fillId="0" borderId="0" xfId="65" applyFont="1" applyFill="1"/>
    <xf numFmtId="0" fontId="89" fillId="0" borderId="0" xfId="65" applyNumberFormat="1" applyFont="1" applyFill="1" applyAlignment="1" applyProtection="1"/>
    <xf numFmtId="0" fontId="20" fillId="0" borderId="0" xfId="65" applyFont="1" applyFill="1"/>
    <xf numFmtId="0" fontId="23" fillId="0" borderId="0" xfId="0" applyNumberFormat="1" applyFont="1" applyFill="1" applyAlignment="1" applyProtection="1">
      <alignment vertical="center" wrapText="1"/>
    </xf>
    <xf numFmtId="0" fontId="27" fillId="0" borderId="0" xfId="65" applyNumberFormat="1" applyFont="1" applyFill="1" applyAlignment="1" applyProtection="1">
      <alignment vertical="center" wrapText="1"/>
    </xf>
    <xf numFmtId="0" fontId="26" fillId="0" borderId="0" xfId="65" applyNumberFormat="1" applyFont="1" applyFill="1" applyAlignment="1" applyProtection="1">
      <alignment horizontal="center" vertical="center" wrapText="1"/>
    </xf>
    <xf numFmtId="0" fontId="3" fillId="0" borderId="8" xfId="65" applyNumberFormat="1" applyFont="1" applyFill="1" applyBorder="1" applyAlignment="1" applyProtection="1">
      <alignment vertical="center"/>
    </xf>
    <xf numFmtId="0" fontId="19" fillId="0" borderId="7" xfId="65" applyNumberFormat="1" applyFont="1" applyFill="1" applyBorder="1" applyAlignment="1" applyProtection="1">
      <alignment horizontal="center" vertical="center" wrapText="1"/>
    </xf>
    <xf numFmtId="0" fontId="68" fillId="0" borderId="0" xfId="65" applyNumberFormat="1" applyFont="1" applyFill="1" applyAlignment="1" applyProtection="1"/>
    <xf numFmtId="0" fontId="68" fillId="0" borderId="0" xfId="65" applyFont="1" applyFill="1"/>
    <xf numFmtId="0" fontId="79" fillId="0" borderId="7" xfId="65" applyNumberFormat="1" applyFont="1" applyFill="1" applyBorder="1" applyAlignment="1" applyProtection="1">
      <alignment horizontal="center" vertical="center" wrapText="1"/>
    </xf>
    <xf numFmtId="0" fontId="92" fillId="0" borderId="7" xfId="65" applyNumberFormat="1" applyFont="1" applyFill="1" applyBorder="1" applyAlignment="1" applyProtection="1">
      <alignment vertical="center"/>
    </xf>
    <xf numFmtId="0" fontId="19" fillId="0" borderId="7" xfId="65" applyNumberFormat="1" applyFont="1" applyFill="1" applyBorder="1" applyAlignment="1" applyProtection="1">
      <alignment vertical="center"/>
    </xf>
    <xf numFmtId="192" fontId="92" fillId="0" borderId="7" xfId="65" applyNumberFormat="1" applyFont="1" applyFill="1" applyBorder="1" applyAlignment="1" applyProtection="1">
      <alignment horizontal="right" vertical="center"/>
    </xf>
    <xf numFmtId="192" fontId="30" fillId="0" borderId="7" xfId="65" applyNumberFormat="1" applyFont="1" applyBorder="1" applyAlignment="1">
      <alignment vertical="center"/>
    </xf>
    <xf numFmtId="0" fontId="93" fillId="0" borderId="7" xfId="65" applyNumberFormat="1" applyFont="1" applyFill="1" applyBorder="1" applyAlignment="1" applyProtection="1"/>
    <xf numFmtId="0" fontId="89" fillId="0" borderId="0" xfId="65" applyFont="1" applyFill="1" applyAlignment="1" applyProtection="1"/>
    <xf numFmtId="0" fontId="19" fillId="0" borderId="7" xfId="65" applyNumberFormat="1" applyFont="1" applyFill="1" applyBorder="1" applyAlignment="1" applyProtection="1">
      <alignment horizontal="left" vertical="top"/>
    </xf>
    <xf numFmtId="0" fontId="19" fillId="0" borderId="7" xfId="65" applyNumberFormat="1" applyFont="1" applyFill="1" applyBorder="1" applyAlignment="1" applyProtection="1">
      <alignment vertical="top" wrapText="1"/>
    </xf>
    <xf numFmtId="3" fontId="44" fillId="0" borderId="7" xfId="65" applyNumberFormat="1" applyFont="1" applyBorder="1" applyAlignment="1">
      <alignment vertical="top" wrapText="1"/>
    </xf>
    <xf numFmtId="0" fontId="89" fillId="0" borderId="0" xfId="65" applyNumberFormat="1" applyFont="1" applyFill="1" applyAlignment="1" applyProtection="1">
      <alignment vertical="top"/>
    </xf>
    <xf numFmtId="0" fontId="20" fillId="0" borderId="0" xfId="65" applyFont="1" applyFill="1" applyAlignment="1">
      <alignment vertical="top"/>
    </xf>
    <xf numFmtId="0" fontId="86" fillId="0" borderId="7" xfId="65" applyNumberFormat="1" applyFont="1" applyFill="1" applyBorder="1" applyAlignment="1" applyProtection="1">
      <alignment horizontal="left" vertical="top"/>
    </xf>
    <xf numFmtId="0" fontId="86" fillId="0" borderId="7" xfId="65" applyNumberFormat="1" applyFont="1" applyFill="1" applyBorder="1" applyAlignment="1" applyProtection="1">
      <alignment vertical="top" wrapText="1"/>
    </xf>
    <xf numFmtId="3" fontId="19" fillId="0" borderId="7" xfId="65" applyNumberFormat="1" applyFont="1" applyFill="1" applyBorder="1" applyAlignment="1" applyProtection="1">
      <alignment horizontal="right" vertical="top"/>
    </xf>
    <xf numFmtId="3" fontId="94" fillId="0" borderId="7" xfId="65" applyNumberFormat="1" applyFont="1" applyBorder="1" applyAlignment="1">
      <alignment vertical="top" wrapText="1"/>
    </xf>
    <xf numFmtId="0" fontId="2" fillId="0" borderId="0" xfId="65" applyNumberFormat="1" applyFont="1" applyFill="1" applyAlignment="1" applyProtection="1">
      <alignment vertical="top"/>
    </xf>
    <xf numFmtId="0" fontId="2" fillId="0" borderId="0" xfId="65" applyFont="1" applyFill="1" applyAlignment="1">
      <alignment vertical="top"/>
    </xf>
    <xf numFmtId="0" fontId="23" fillId="0" borderId="7" xfId="65" applyNumberFormat="1" applyFont="1" applyFill="1" applyBorder="1" applyAlignment="1" applyProtection="1">
      <alignment horizontal="left" vertical="top"/>
    </xf>
    <xf numFmtId="0" fontId="23" fillId="0" borderId="7" xfId="65" applyNumberFormat="1" applyFont="1" applyFill="1" applyBorder="1" applyAlignment="1" applyProtection="1">
      <alignment vertical="top" wrapText="1"/>
    </xf>
    <xf numFmtId="3" fontId="83" fillId="0" borderId="7" xfId="65" applyNumberFormat="1" applyFont="1" applyBorder="1" applyAlignment="1">
      <alignment vertical="top" wrapText="1"/>
    </xf>
    <xf numFmtId="3" fontId="23" fillId="0" borderId="7" xfId="65" applyNumberFormat="1" applyFont="1" applyFill="1" applyBorder="1" applyAlignment="1" applyProtection="1">
      <alignment vertical="top"/>
    </xf>
    <xf numFmtId="0" fontId="47" fillId="0" borderId="7" xfId="65" applyNumberFormat="1" applyFont="1" applyFill="1" applyBorder="1" applyAlignment="1" applyProtection="1">
      <alignment horizontal="left" vertical="top"/>
    </xf>
    <xf numFmtId="0" fontId="47" fillId="0" borderId="7" xfId="65" applyNumberFormat="1" applyFont="1" applyFill="1" applyBorder="1" applyAlignment="1" applyProtection="1">
      <alignment vertical="top" wrapText="1"/>
    </xf>
    <xf numFmtId="0" fontId="68" fillId="0" borderId="0" xfId="65" applyNumberFormat="1" applyFont="1" applyFill="1" applyAlignment="1" applyProtection="1">
      <alignment vertical="top"/>
    </xf>
    <xf numFmtId="0" fontId="68" fillId="0" borderId="0" xfId="65" applyFont="1" applyFill="1" applyAlignment="1">
      <alignment vertical="top"/>
    </xf>
    <xf numFmtId="0" fontId="27" fillId="0" borderId="7" xfId="65" applyNumberFormat="1" applyFont="1" applyFill="1" applyBorder="1" applyAlignment="1" applyProtection="1">
      <alignment horizontal="left" vertical="top"/>
    </xf>
    <xf numFmtId="0" fontId="27" fillId="0" borderId="7" xfId="65" applyNumberFormat="1" applyFont="1" applyFill="1" applyBorder="1" applyAlignment="1" applyProtection="1">
      <alignment vertical="top" wrapText="1"/>
    </xf>
    <xf numFmtId="4" fontId="27" fillId="0" borderId="7" xfId="65" applyNumberFormat="1" applyFont="1" applyFill="1" applyBorder="1" applyAlignment="1" applyProtection="1">
      <alignment horizontal="right" vertical="center"/>
    </xf>
    <xf numFmtId="4" fontId="28" fillId="0" borderId="7" xfId="65" applyNumberFormat="1" applyFont="1" applyBorder="1" applyAlignment="1">
      <alignment vertical="top" wrapText="1"/>
    </xf>
    <xf numFmtId="4" fontId="27" fillId="0" borderId="7" xfId="65" applyNumberFormat="1" applyFont="1" applyFill="1" applyBorder="1" applyAlignment="1" applyProtection="1"/>
    <xf numFmtId="4" fontId="25" fillId="0" borderId="7" xfId="65" applyNumberFormat="1" applyFont="1" applyFill="1" applyBorder="1" applyAlignment="1" applyProtection="1">
      <alignment horizontal="right" vertical="top"/>
    </xf>
    <xf numFmtId="0" fontId="20" fillId="0" borderId="0" xfId="65" applyFill="1"/>
    <xf numFmtId="0" fontId="26" fillId="0" borderId="0" xfId="65" applyNumberFormat="1" applyFont="1" applyFill="1" applyAlignment="1" applyProtection="1"/>
    <xf numFmtId="0" fontId="95" fillId="0" borderId="0" xfId="59" applyFont="1" applyAlignment="1">
      <alignment horizontal="left"/>
    </xf>
    <xf numFmtId="0" fontId="48" fillId="0" borderId="0" xfId="59" applyAlignment="1">
      <alignment horizontal="left"/>
    </xf>
    <xf numFmtId="0" fontId="48" fillId="0" borderId="0" xfId="59" applyAlignment="1">
      <alignment horizontal="left" vertical="justify"/>
    </xf>
    <xf numFmtId="3" fontId="48" fillId="0" borderId="0" xfId="59" applyNumberFormat="1" applyAlignment="1">
      <alignment horizontal="left"/>
    </xf>
    <xf numFmtId="0" fontId="48" fillId="0" borderId="0" xfId="59"/>
    <xf numFmtId="0" fontId="51" fillId="0" borderId="0" xfId="59" applyFont="1"/>
    <xf numFmtId="0" fontId="23" fillId="25" borderId="0" xfId="0" applyNumberFormat="1" applyFont="1" applyFill="1" applyAlignment="1" applyProtection="1">
      <alignment vertical="center" wrapText="1"/>
    </xf>
    <xf numFmtId="0" fontId="79" fillId="0" borderId="0" xfId="65" applyNumberFormat="1" applyFont="1" applyFill="1" applyAlignment="1" applyProtection="1">
      <alignment vertical="top"/>
    </xf>
    <xf numFmtId="0" fontId="79" fillId="0" borderId="0" xfId="65" applyFont="1" applyFill="1" applyAlignment="1">
      <alignment vertical="top"/>
    </xf>
    <xf numFmtId="192" fontId="19" fillId="26" borderId="7" xfId="49" applyNumberFormat="1" applyFont="1" applyFill="1" applyBorder="1" applyAlignment="1">
      <alignment horizontal="center" vertical="center" wrapText="1"/>
    </xf>
    <xf numFmtId="192" fontId="23" fillId="26" borderId="7" xfId="49" applyNumberFormat="1" applyFont="1" applyFill="1" applyBorder="1" applyAlignment="1">
      <alignment horizontal="center" vertical="center"/>
    </xf>
    <xf numFmtId="192" fontId="23" fillId="26" borderId="7" xfId="49" applyNumberFormat="1" applyFont="1" applyFill="1" applyBorder="1" applyAlignment="1">
      <alignment horizontal="center" vertical="center" wrapText="1"/>
    </xf>
    <xf numFmtId="3" fontId="23" fillId="26" borderId="7" xfId="49" applyNumberFormat="1" applyFont="1" applyFill="1" applyBorder="1" applyAlignment="1">
      <alignment horizontal="center" vertical="center"/>
    </xf>
    <xf numFmtId="0" fontId="45" fillId="0" borderId="0" xfId="0" applyNumberFormat="1" applyFont="1" applyFill="1" applyAlignment="1" applyProtection="1">
      <alignment wrapText="1"/>
    </xf>
    <xf numFmtId="0" fontId="45" fillId="0" borderId="0" xfId="0" applyFont="1" applyFill="1" applyAlignment="1">
      <alignment wrapText="1"/>
    </xf>
    <xf numFmtId="0" fontId="46" fillId="0" borderId="0" xfId="0" applyNumberFormat="1" applyFont="1" applyFill="1" applyAlignment="1" applyProtection="1">
      <alignment wrapText="1"/>
    </xf>
    <xf numFmtId="0" fontId="46" fillId="0" borderId="0" xfId="0" applyFont="1" applyFill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7" fillId="0" borderId="0" xfId="0" applyFont="1" applyFill="1" applyBorder="1"/>
    <xf numFmtId="0" fontId="27" fillId="0" borderId="0" xfId="0" applyFont="1" applyFill="1" applyBorder="1" applyAlignment="1">
      <alignment vertical="center"/>
    </xf>
    <xf numFmtId="0" fontId="23" fillId="0" borderId="0" xfId="59" applyNumberFormat="1" applyFont="1" applyFill="1" applyBorder="1" applyAlignment="1">
      <alignment horizontal="center"/>
    </xf>
    <xf numFmtId="3" fontId="23" fillId="0" borderId="0" xfId="59" applyNumberFormat="1" applyFont="1" applyFill="1" applyBorder="1" applyAlignment="1">
      <alignment horizontal="center"/>
    </xf>
    <xf numFmtId="0" fontId="66" fillId="0" borderId="0" xfId="59" applyFont="1" applyFill="1" applyBorder="1" applyAlignment="1">
      <alignment horizontal="left"/>
    </xf>
    <xf numFmtId="0" fontId="27" fillId="26" borderId="0" xfId="0" applyFont="1" applyFill="1" applyBorder="1"/>
    <xf numFmtId="0" fontId="25" fillId="26" borderId="0" xfId="0" applyFont="1" applyFill="1" applyBorder="1"/>
    <xf numFmtId="0" fontId="25" fillId="0" borderId="0" xfId="0" applyFont="1" applyFill="1" applyBorder="1"/>
    <xf numFmtId="0" fontId="25" fillId="0" borderId="7" xfId="0" applyFont="1" applyFill="1" applyBorder="1" applyAlignment="1">
      <alignment horizontal="center" vertical="center"/>
    </xf>
    <xf numFmtId="0" fontId="33" fillId="0" borderId="7" xfId="57" applyFont="1" applyBorder="1" applyAlignment="1">
      <alignment horizontal="center" vertical="center" wrapText="1"/>
    </xf>
    <xf numFmtId="0" fontId="33" fillId="0" borderId="7" xfId="57" applyFont="1" applyBorder="1" applyAlignment="1">
      <alignment wrapText="1"/>
    </xf>
    <xf numFmtId="0" fontId="31" fillId="0" borderId="7" xfId="0" applyFont="1" applyFill="1" applyBorder="1" applyAlignment="1">
      <alignment horizontal="center" vertical="center"/>
    </xf>
    <xf numFmtId="3" fontId="28" fillId="0" borderId="7" xfId="48" applyNumberFormat="1" applyFont="1" applyFill="1" applyBorder="1" applyAlignment="1">
      <alignment vertical="top" wrapText="1"/>
    </xf>
    <xf numFmtId="194" fontId="29" fillId="26" borderId="7" xfId="0" applyNumberFormat="1" applyFont="1" applyFill="1" applyBorder="1" applyAlignment="1">
      <alignment horizontal="center" vertical="center" wrapText="1"/>
    </xf>
    <xf numFmtId="0" fontId="29" fillId="26" borderId="7" xfId="0" applyNumberFormat="1" applyFont="1" applyFill="1" applyBorder="1" applyAlignment="1">
      <alignment horizontal="center" vertical="center"/>
    </xf>
    <xf numFmtId="49" fontId="31" fillId="0" borderId="7" xfId="0" applyNumberFormat="1" applyFont="1" applyFill="1" applyBorder="1" applyAlignment="1">
      <alignment horizontal="center" vertical="center" wrapText="1"/>
    </xf>
    <xf numFmtId="0" fontId="31" fillId="0" borderId="7" xfId="59" applyNumberFormat="1" applyFont="1" applyFill="1" applyBorder="1" applyAlignment="1">
      <alignment horizontal="left" vertical="center" wrapText="1"/>
    </xf>
    <xf numFmtId="197" fontId="31" fillId="0" borderId="7" xfId="59" applyNumberFormat="1" applyFont="1" applyFill="1" applyBorder="1" applyAlignment="1">
      <alignment horizontal="center" vertical="center" wrapText="1"/>
    </xf>
    <xf numFmtId="196" fontId="31" fillId="0" borderId="7" xfId="59" applyNumberFormat="1" applyFont="1" applyFill="1" applyBorder="1" applyAlignment="1">
      <alignment horizontal="center" vertical="center" wrapText="1"/>
    </xf>
    <xf numFmtId="0" fontId="31" fillId="24" borderId="7" xfId="59" applyNumberFormat="1" applyFont="1" applyFill="1" applyBorder="1" applyAlignment="1">
      <alignment horizontal="left" vertical="top" wrapText="1"/>
    </xf>
    <xf numFmtId="49" fontId="31" fillId="0" borderId="7" xfId="59" applyNumberFormat="1" applyFont="1" applyFill="1" applyBorder="1" applyAlignment="1">
      <alignment horizontal="center" vertical="center"/>
    </xf>
    <xf numFmtId="3" fontId="31" fillId="0" borderId="7" xfId="59" applyNumberFormat="1" applyFont="1" applyFill="1" applyBorder="1" applyAlignment="1">
      <alignment horizontal="center" vertical="center"/>
    </xf>
    <xf numFmtId="0" fontId="31" fillId="0" borderId="7" xfId="0" quotePrefix="1" applyFont="1" applyFill="1" applyBorder="1" applyAlignment="1">
      <alignment horizontal="center" vertical="center" wrapText="1"/>
    </xf>
    <xf numFmtId="2" fontId="31" fillId="0" borderId="7" xfId="0" quotePrefix="1" applyNumberFormat="1" applyFont="1" applyFill="1" applyBorder="1" applyAlignment="1">
      <alignment horizontal="center" vertical="center" wrapText="1"/>
    </xf>
    <xf numFmtId="2" fontId="31" fillId="0" borderId="7" xfId="0" quotePrefix="1" applyNumberFormat="1" applyFont="1" applyFill="1" applyBorder="1" applyAlignment="1">
      <alignment horizontal="left" vertical="center" wrapText="1"/>
    </xf>
    <xf numFmtId="0" fontId="31" fillId="0" borderId="7" xfId="59" applyNumberFormat="1" applyFont="1" applyFill="1" applyBorder="1" applyAlignment="1">
      <alignment horizontal="center" vertical="center" wrapText="1"/>
    </xf>
    <xf numFmtId="0" fontId="31" fillId="0" borderId="7" xfId="59" applyNumberFormat="1" applyFont="1" applyFill="1" applyBorder="1" applyAlignment="1">
      <alignment horizontal="left" vertical="justify" wrapText="1"/>
    </xf>
    <xf numFmtId="3" fontId="31" fillId="0" borderId="7" xfId="59" applyNumberFormat="1" applyFont="1" applyFill="1" applyBorder="1" applyAlignment="1">
      <alignment horizontal="center" vertical="center" wrapText="1"/>
    </xf>
    <xf numFmtId="198" fontId="31" fillId="0" borderId="7" xfId="59" applyNumberFormat="1" applyFont="1" applyFill="1" applyBorder="1" applyAlignment="1">
      <alignment horizontal="center" vertical="center" wrapText="1"/>
    </xf>
    <xf numFmtId="0" fontId="31" fillId="0" borderId="7" xfId="59" applyNumberFormat="1" applyFont="1" applyFill="1" applyBorder="1" applyAlignment="1">
      <alignment horizontal="left" vertical="top" wrapText="1"/>
    </xf>
    <xf numFmtId="1" fontId="31" fillId="0" borderId="7" xfId="59" applyNumberFormat="1" applyFont="1" applyFill="1" applyBorder="1" applyAlignment="1">
      <alignment horizontal="center" vertical="center"/>
    </xf>
    <xf numFmtId="0" fontId="31" fillId="0" borderId="7" xfId="0" applyNumberFormat="1" applyFont="1" applyFill="1" applyBorder="1" applyAlignment="1" applyProtection="1">
      <alignment horizontal="center" vertical="center" wrapText="1"/>
    </xf>
    <xf numFmtId="194" fontId="31" fillId="0" borderId="7" xfId="59" applyNumberFormat="1" applyFont="1" applyFill="1" applyBorder="1" applyAlignment="1">
      <alignment horizontal="center" vertical="center"/>
    </xf>
    <xf numFmtId="195" fontId="31" fillId="0" borderId="7" xfId="59" applyNumberFormat="1" applyFont="1" applyFill="1" applyBorder="1" applyAlignment="1">
      <alignment horizontal="center" vertical="center" wrapText="1"/>
    </xf>
    <xf numFmtId="192" fontId="31" fillId="0" borderId="7" xfId="50" applyNumberFormat="1" applyFont="1" applyBorder="1" applyAlignment="1">
      <alignment horizontal="center" vertical="top"/>
    </xf>
    <xf numFmtId="192" fontId="31" fillId="0" borderId="7" xfId="50" applyNumberFormat="1" applyFont="1" applyBorder="1" applyAlignment="1">
      <alignment horizontal="center" vertical="center"/>
    </xf>
    <xf numFmtId="0" fontId="31" fillId="0" borderId="7" xfId="59" applyNumberFormat="1" applyFont="1" applyFill="1" applyBorder="1" applyAlignment="1">
      <alignment horizontal="center" vertical="center"/>
    </xf>
    <xf numFmtId="0" fontId="31" fillId="24" borderId="7" xfId="59" applyNumberFormat="1" applyFont="1" applyFill="1" applyBorder="1" applyAlignment="1">
      <alignment horizontal="left" vertical="center" wrapText="1"/>
    </xf>
    <xf numFmtId="4" fontId="23" fillId="24" borderId="7" xfId="49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 applyProtection="1">
      <alignment horizontal="center" vertical="center" wrapText="1"/>
    </xf>
    <xf numFmtId="0" fontId="35" fillId="0" borderId="21" xfId="60" applyFont="1" applyFill="1" applyBorder="1" applyAlignment="1">
      <alignment horizontal="center" vertical="center" wrapText="1"/>
    </xf>
    <xf numFmtId="0" fontId="35" fillId="0" borderId="21" xfId="60" applyFont="1" applyFill="1" applyBorder="1" applyAlignment="1">
      <alignment wrapText="1"/>
    </xf>
    <xf numFmtId="0" fontId="69" fillId="0" borderId="0" xfId="0" applyNumberFormat="1" applyFont="1" applyFill="1" applyBorder="1" applyAlignment="1" applyProtection="1">
      <alignment horizontal="center"/>
    </xf>
    <xf numFmtId="1" fontId="28" fillId="0" borderId="7" xfId="65" applyNumberFormat="1" applyFont="1" applyFill="1" applyBorder="1" applyAlignment="1">
      <alignment horizontal="left" vertical="center" wrapText="1"/>
    </xf>
    <xf numFmtId="0" fontId="27" fillId="0" borderId="7" xfId="59" applyNumberFormat="1" applyFont="1" applyFill="1" applyBorder="1" applyAlignment="1">
      <alignment horizontal="left" vertical="center" wrapText="1"/>
    </xf>
    <xf numFmtId="0" fontId="79" fillId="0" borderId="0" xfId="0" applyNumberFormat="1" applyFont="1" applyFill="1" applyAlignment="1" applyProtection="1">
      <alignment horizontal="left"/>
    </xf>
    <xf numFmtId="0" fontId="27" fillId="0" borderId="7" xfId="59" applyNumberFormat="1" applyFont="1" applyFill="1" applyBorder="1" applyAlignment="1">
      <alignment horizontal="left" vertical="top" wrapText="1"/>
    </xf>
    <xf numFmtId="3" fontId="30" fillId="26" borderId="7" xfId="48" applyNumberFormat="1" applyFont="1" applyFill="1" applyBorder="1" applyAlignment="1">
      <alignment horizontal="left" vertical="center" wrapText="1"/>
    </xf>
    <xf numFmtId="3" fontId="28" fillId="0" borderId="7" xfId="48" applyNumberFormat="1" applyFont="1" applyFill="1" applyBorder="1" applyAlignment="1">
      <alignment horizontal="left" vertical="center" wrapText="1"/>
    </xf>
    <xf numFmtId="3" fontId="28" fillId="0" borderId="7" xfId="48" applyNumberFormat="1" applyFont="1" applyFill="1" applyBorder="1" applyAlignment="1">
      <alignment horizontal="left" vertical="top" wrapText="1"/>
    </xf>
    <xf numFmtId="0" fontId="27" fillId="0" borderId="7" xfId="0" applyNumberFormat="1" applyFont="1" applyFill="1" applyBorder="1" applyAlignment="1">
      <alignment horizontal="left" vertical="center" wrapText="1"/>
    </xf>
    <xf numFmtId="0" fontId="31" fillId="0" borderId="7" xfId="0" applyNumberFormat="1" applyFont="1" applyFill="1" applyBorder="1" applyAlignment="1">
      <alignment horizontal="left" vertical="top" wrapText="1"/>
    </xf>
    <xf numFmtId="0" fontId="31" fillId="0" borderId="7" xfId="0" applyFont="1" applyFill="1" applyBorder="1" applyAlignment="1">
      <alignment horizontal="left" vertical="top" wrapText="1"/>
    </xf>
    <xf numFmtId="0" fontId="31" fillId="0" borderId="7" xfId="0" applyNumberFormat="1" applyFont="1" applyFill="1" applyBorder="1" applyAlignment="1" applyProtection="1">
      <alignment horizontal="left" vertical="center" wrapText="1"/>
    </xf>
    <xf numFmtId="0" fontId="19" fillId="26" borderId="7" xfId="59" applyNumberFormat="1" applyFont="1" applyFill="1" applyBorder="1" applyAlignment="1">
      <alignment horizontal="left" vertical="top" wrapText="1"/>
    </xf>
    <xf numFmtId="192" fontId="23" fillId="24" borderId="7" xfId="59" applyNumberFormat="1" applyFont="1" applyFill="1" applyBorder="1" applyAlignment="1">
      <alignment horizontal="center" vertical="center" wrapText="1"/>
    </xf>
    <xf numFmtId="3" fontId="19" fillId="26" borderId="14" xfId="59" applyNumberFormat="1" applyFont="1" applyFill="1" applyBorder="1" applyAlignment="1">
      <alignment horizontal="center" vertical="center"/>
    </xf>
    <xf numFmtId="0" fontId="19" fillId="26" borderId="7" xfId="0" applyNumberFormat="1" applyFont="1" applyFill="1" applyBorder="1" applyAlignment="1">
      <alignment horizontal="center" vertical="top" wrapText="1"/>
    </xf>
    <xf numFmtId="0" fontId="23" fillId="24" borderId="7" xfId="59" applyNumberFormat="1" applyFont="1" applyFill="1" applyBorder="1" applyAlignment="1">
      <alignment horizontal="left" vertical="top" wrapText="1"/>
    </xf>
    <xf numFmtId="2" fontId="23" fillId="0" borderId="7" xfId="0" quotePrefix="1" applyNumberFormat="1" applyFont="1" applyFill="1" applyBorder="1" applyAlignment="1">
      <alignment vertical="top" wrapText="1"/>
    </xf>
    <xf numFmtId="0" fontId="25" fillId="0" borderId="7" xfId="59" applyNumberFormat="1" applyFont="1" applyFill="1" applyBorder="1" applyAlignment="1">
      <alignment horizontal="left" vertical="top" wrapText="1"/>
    </xf>
    <xf numFmtId="0" fontId="33" fillId="0" borderId="7" xfId="59" applyNumberFormat="1" applyFont="1" applyFill="1" applyBorder="1" applyAlignment="1">
      <alignment horizontal="left" vertical="top" wrapText="1"/>
    </xf>
    <xf numFmtId="0" fontId="19" fillId="26" borderId="7" xfId="59" applyNumberFormat="1" applyFont="1" applyFill="1" applyBorder="1" applyAlignment="1">
      <alignment vertical="top" wrapText="1"/>
    </xf>
    <xf numFmtId="0" fontId="19" fillId="26" borderId="7" xfId="59" applyNumberFormat="1" applyFont="1" applyFill="1" applyBorder="1" applyAlignment="1">
      <alignment horizontal="center" vertical="top" wrapText="1"/>
    </xf>
    <xf numFmtId="0" fontId="25" fillId="26" borderId="7" xfId="59" applyNumberFormat="1" applyFont="1" applyFill="1" applyBorder="1" applyAlignment="1">
      <alignment horizontal="center" vertical="top" wrapText="1"/>
    </xf>
    <xf numFmtId="49" fontId="27" fillId="0" borderId="13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/>
    <xf numFmtId="0" fontId="27" fillId="26" borderId="7" xfId="0" applyNumberFormat="1" applyFont="1" applyFill="1" applyBorder="1" applyAlignment="1" applyProtection="1">
      <alignment horizontal="center" vertical="center" wrapText="1"/>
    </xf>
    <xf numFmtId="3" fontId="25" fillId="26" borderId="7" xfId="0" applyNumberFormat="1" applyFont="1" applyFill="1" applyBorder="1" applyAlignment="1">
      <alignment horizontal="center" vertical="center"/>
    </xf>
    <xf numFmtId="0" fontId="25" fillId="26" borderId="7" xfId="0" applyNumberFormat="1" applyFont="1" applyFill="1" applyBorder="1" applyAlignment="1" applyProtection="1">
      <alignment horizontal="center" vertical="center" wrapText="1"/>
    </xf>
    <xf numFmtId="1" fontId="27" fillId="0" borderId="7" xfId="65" applyNumberFormat="1" applyFont="1" applyFill="1" applyBorder="1" applyAlignment="1">
      <alignment horizontal="left" vertical="center" wrapText="1"/>
    </xf>
    <xf numFmtId="3" fontId="27" fillId="0" borderId="7" xfId="48" applyNumberFormat="1" applyFont="1" applyFill="1" applyBorder="1" applyAlignment="1">
      <alignment horizontal="left" vertical="center" wrapText="1"/>
    </xf>
    <xf numFmtId="3" fontId="27" fillId="0" borderId="7" xfId="59" applyNumberFormat="1" applyFont="1" applyFill="1" applyBorder="1" applyAlignment="1">
      <alignment horizontal="left" wrapText="1"/>
    </xf>
    <xf numFmtId="3" fontId="27" fillId="0" borderId="7" xfId="48" applyNumberFormat="1" applyFont="1" applyFill="1" applyBorder="1" applyAlignment="1">
      <alignment vertical="center" wrapText="1"/>
    </xf>
    <xf numFmtId="0" fontId="25" fillId="0" borderId="0" xfId="0" applyNumberFormat="1" applyFont="1" applyFill="1" applyAlignment="1" applyProtection="1">
      <alignment horizontal="left" vertical="center"/>
    </xf>
    <xf numFmtId="49" fontId="25" fillId="0" borderId="7" xfId="0" applyNumberFormat="1" applyFont="1" applyFill="1" applyBorder="1" applyAlignment="1">
      <alignment horizontal="center" vertical="center" wrapText="1"/>
    </xf>
    <xf numFmtId="0" fontId="25" fillId="0" borderId="7" xfId="59" applyNumberFormat="1" applyFont="1" applyFill="1" applyBorder="1" applyAlignment="1">
      <alignment horizontal="left" vertical="justify" wrapText="1"/>
    </xf>
    <xf numFmtId="49" fontId="27" fillId="0" borderId="7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22" xfId="59" applyNumberFormat="1" applyFont="1" applyFill="1" applyBorder="1" applyAlignment="1">
      <alignment horizontal="center" vertical="center"/>
    </xf>
    <xf numFmtId="192" fontId="19" fillId="0" borderId="22" xfId="0" applyNumberFormat="1" applyFont="1" applyFill="1" applyBorder="1" applyAlignment="1" applyProtection="1">
      <alignment horizontal="center" vertical="center" wrapText="1"/>
    </xf>
    <xf numFmtId="3" fontId="83" fillId="0" borderId="7" xfId="0" applyNumberFormat="1" applyFont="1" applyFill="1" applyBorder="1" applyAlignment="1">
      <alignment horizontal="center" vertical="center" wrapText="1"/>
    </xf>
    <xf numFmtId="3" fontId="83" fillId="0" borderId="7" xfId="0" applyNumberFormat="1" applyFont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top" wrapText="1"/>
    </xf>
    <xf numFmtId="0" fontId="23" fillId="0" borderId="1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/>
    <xf numFmtId="3" fontId="27" fillId="0" borderId="7" xfId="48" applyNumberFormat="1" applyFont="1" applyFill="1" applyBorder="1" applyAlignment="1">
      <alignment vertical="top" wrapText="1"/>
    </xf>
    <xf numFmtId="3" fontId="27" fillId="0" borderId="7" xfId="48" applyNumberFormat="1" applyFont="1" applyFill="1" applyBorder="1" applyAlignment="1">
      <alignment horizontal="left" vertical="top" wrapText="1"/>
    </xf>
    <xf numFmtId="0" fontId="19" fillId="0" borderId="0" xfId="58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Alignment="1" applyProtection="1">
      <alignment horizontal="center" vertical="center" wrapText="1"/>
    </xf>
    <xf numFmtId="0" fontId="19" fillId="0" borderId="7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Alignment="1" applyProtection="1">
      <alignment horizontal="center" vertical="center"/>
    </xf>
    <xf numFmtId="0" fontId="97" fillId="0" borderId="0" xfId="0" applyNumberFormat="1" applyFont="1" applyFill="1" applyAlignment="1" applyProtection="1">
      <alignment horizontal="left" vertical="center"/>
    </xf>
    <xf numFmtId="0" fontId="96" fillId="0" borderId="0" xfId="0" applyNumberFormat="1" applyFont="1" applyFill="1" applyAlignment="1" applyProtection="1">
      <alignment horizontal="left" vertical="center"/>
    </xf>
    <xf numFmtId="0" fontId="24" fillId="0" borderId="0" xfId="58" applyNumberFormat="1" applyFont="1" applyFill="1" applyBorder="1" applyAlignment="1" applyProtection="1">
      <alignment horizontal="center" vertical="center" wrapText="1"/>
    </xf>
    <xf numFmtId="0" fontId="26" fillId="0" borderId="0" xfId="65" applyNumberFormat="1" applyFont="1" applyFill="1" applyAlignment="1" applyProtection="1">
      <alignment horizontal="center" vertical="center" wrapText="1"/>
    </xf>
    <xf numFmtId="0" fontId="90" fillId="0" borderId="0" xfId="65" applyNumberFormat="1" applyFont="1" applyFill="1" applyAlignment="1" applyProtection="1">
      <alignment horizontal="right" vertical="center"/>
    </xf>
    <xf numFmtId="0" fontId="19" fillId="0" borderId="7" xfId="65" applyNumberFormat="1" applyFont="1" applyFill="1" applyBorder="1" applyAlignment="1" applyProtection="1">
      <alignment horizontal="center" vertical="center" wrapText="1"/>
    </xf>
    <xf numFmtId="0" fontId="27" fillId="24" borderId="23" xfId="0" applyNumberFormat="1" applyFont="1" applyFill="1" applyBorder="1" applyAlignment="1" applyProtection="1">
      <alignment horizontal="center" vertical="center" wrapText="1"/>
    </xf>
    <xf numFmtId="0" fontId="27" fillId="24" borderId="14" xfId="0" applyNumberFormat="1" applyFont="1" applyFill="1" applyBorder="1" applyAlignment="1" applyProtection="1">
      <alignment horizontal="center" vertical="center" wrapText="1"/>
    </xf>
    <xf numFmtId="0" fontId="27" fillId="24" borderId="24" xfId="0" applyNumberFormat="1" applyFont="1" applyFill="1" applyBorder="1" applyAlignment="1" applyProtection="1">
      <alignment horizontal="center" vertical="center" wrapText="1"/>
    </xf>
    <xf numFmtId="0" fontId="33" fillId="24" borderId="7" xfId="0" applyNumberFormat="1" applyFont="1" applyFill="1" applyBorder="1" applyAlignment="1" applyProtection="1">
      <alignment horizontal="center" vertical="center" wrapText="1"/>
    </xf>
    <xf numFmtId="0" fontId="33" fillId="24" borderId="29" xfId="0" applyNumberFormat="1" applyFont="1" applyFill="1" applyBorder="1" applyAlignment="1" applyProtection="1">
      <alignment horizontal="center" vertical="center" wrapText="1"/>
    </xf>
    <xf numFmtId="0" fontId="24" fillId="0" borderId="0" xfId="59" applyNumberFormat="1" applyFont="1" applyFill="1" applyAlignment="1">
      <alignment horizontal="center" vertical="center" wrapText="1"/>
    </xf>
    <xf numFmtId="0" fontId="27" fillId="24" borderId="30" xfId="0" applyNumberFormat="1" applyFont="1" applyFill="1" applyBorder="1" applyAlignment="1" applyProtection="1">
      <alignment horizontal="center" vertical="center" wrapText="1"/>
    </xf>
    <xf numFmtId="0" fontId="68" fillId="24" borderId="30" xfId="0" applyNumberFormat="1" applyFont="1" applyFill="1" applyBorder="1" applyAlignment="1" applyProtection="1">
      <alignment horizontal="center" vertical="center" wrapText="1"/>
    </xf>
    <xf numFmtId="0" fontId="68" fillId="24" borderId="7" xfId="0" applyNumberFormat="1" applyFont="1" applyFill="1" applyBorder="1" applyAlignment="1" applyProtection="1">
      <alignment horizontal="center" vertical="center" wrapText="1"/>
    </xf>
    <xf numFmtId="0" fontId="68" fillId="24" borderId="29" xfId="0" applyNumberFormat="1" applyFont="1" applyFill="1" applyBorder="1" applyAlignment="1" applyProtection="1">
      <alignment horizontal="center" vertical="center" wrapText="1"/>
    </xf>
    <xf numFmtId="0" fontId="27" fillId="24" borderId="7" xfId="0" applyNumberFormat="1" applyFont="1" applyFill="1" applyBorder="1" applyAlignment="1" applyProtection="1">
      <alignment horizontal="center" vertical="center" wrapText="1"/>
    </xf>
    <xf numFmtId="0" fontId="27" fillId="24" borderId="29" xfId="0" applyNumberFormat="1" applyFont="1" applyFill="1" applyBorder="1" applyAlignment="1" applyProtection="1">
      <alignment horizontal="center" vertical="center" wrapText="1"/>
    </xf>
    <xf numFmtId="0" fontId="48" fillId="0" borderId="0" xfId="59" applyNumberFormat="1" applyFill="1" applyAlignment="1">
      <alignment horizontal="left" vertical="top" wrapText="1"/>
    </xf>
    <xf numFmtId="0" fontId="48" fillId="0" borderId="0" xfId="59" applyNumberFormat="1" applyFill="1" applyAlignment="1">
      <alignment horizontal="left" wrapText="1"/>
    </xf>
    <xf numFmtId="0" fontId="68" fillId="24" borderId="27" xfId="0" applyNumberFormat="1" applyFont="1" applyFill="1" applyBorder="1" applyAlignment="1" applyProtection="1">
      <alignment horizontal="center" vertical="center" wrapText="1"/>
    </xf>
    <xf numFmtId="0" fontId="68" fillId="24" borderId="13" xfId="0" applyNumberFormat="1" applyFont="1" applyFill="1" applyBorder="1" applyAlignment="1" applyProtection="1">
      <alignment horizontal="center" vertical="center" wrapText="1"/>
    </xf>
    <xf numFmtId="0" fontId="68" fillId="24" borderId="28" xfId="0" applyNumberFormat="1" applyFont="1" applyFill="1" applyBorder="1" applyAlignment="1" applyProtection="1">
      <alignment horizontal="center" vertical="center" wrapText="1"/>
    </xf>
    <xf numFmtId="0" fontId="24" fillId="0" borderId="0" xfId="58" applyNumberFormat="1" applyFont="1" applyFill="1" applyBorder="1" applyAlignment="1" applyProtection="1">
      <alignment horizontal="center" wrapText="1"/>
    </xf>
    <xf numFmtId="0" fontId="27" fillId="24" borderId="10" xfId="0" applyNumberFormat="1" applyFont="1" applyFill="1" applyBorder="1" applyAlignment="1" applyProtection="1">
      <alignment horizontal="center" vertical="center" wrapText="1"/>
    </xf>
    <xf numFmtId="0" fontId="27" fillId="24" borderId="25" xfId="0" applyNumberFormat="1" applyFont="1" applyFill="1" applyBorder="1" applyAlignment="1" applyProtection="1">
      <alignment horizontal="center" vertical="center" wrapText="1"/>
    </xf>
    <xf numFmtId="0" fontId="27" fillId="24" borderId="26" xfId="0" applyNumberFormat="1" applyFont="1" applyFill="1" applyBorder="1" applyAlignment="1" applyProtection="1">
      <alignment horizontal="center" vertical="center" wrapText="1"/>
    </xf>
    <xf numFmtId="0" fontId="33" fillId="24" borderId="10" xfId="0" applyNumberFormat="1" applyFont="1" applyFill="1" applyBorder="1" applyAlignment="1" applyProtection="1">
      <alignment horizontal="center" vertical="center" wrapText="1"/>
    </xf>
    <xf numFmtId="0" fontId="33" fillId="24" borderId="25" xfId="0" applyNumberFormat="1" applyFont="1" applyFill="1" applyBorder="1" applyAlignment="1" applyProtection="1">
      <alignment horizontal="center" vertical="center" wrapText="1"/>
    </xf>
    <xf numFmtId="0" fontId="33" fillId="24" borderId="26" xfId="0" applyNumberFormat="1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>
      <alignment horizontal="center" vertical="top" wrapText="1"/>
    </xf>
    <xf numFmtId="0" fontId="23" fillId="0" borderId="9" xfId="0" applyFont="1" applyFill="1" applyBorder="1" applyAlignment="1">
      <alignment horizontal="center" vertical="top" wrapText="1"/>
    </xf>
    <xf numFmtId="0" fontId="23" fillId="0" borderId="25" xfId="0" applyFont="1" applyFill="1" applyBorder="1" applyAlignment="1">
      <alignment horizontal="center" vertical="top" wrapText="1"/>
    </xf>
    <xf numFmtId="0" fontId="23" fillId="0" borderId="7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82" fillId="0" borderId="0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77" fillId="0" borderId="22" xfId="0" applyFont="1" applyFill="1" applyBorder="1" applyAlignment="1">
      <alignment horizontal="left" vertical="center" wrapText="1"/>
    </xf>
    <xf numFmtId="0" fontId="77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73" fillId="0" borderId="0" xfId="0" applyFont="1" applyFill="1" applyAlignment="1">
      <alignment horizontal="center" vertical="center" wrapText="1"/>
    </xf>
    <xf numFmtId="0" fontId="27" fillId="0" borderId="0" xfId="0" applyNumberFormat="1" applyFont="1" applyFill="1" applyAlignment="1" applyProtection="1">
      <alignment horizontal="center" vertical="center" wrapText="1"/>
    </xf>
    <xf numFmtId="0" fontId="76" fillId="0" borderId="10" xfId="0" applyFont="1" applyFill="1" applyBorder="1" applyAlignment="1">
      <alignment horizontal="center" vertical="center" wrapText="1"/>
    </xf>
    <xf numFmtId="0" fontId="76" fillId="0" borderId="25" xfId="0" applyFont="1" applyFill="1" applyBorder="1" applyAlignment="1">
      <alignment horizontal="center" vertical="center" wrapText="1"/>
    </xf>
    <xf numFmtId="0" fontId="76" fillId="0" borderId="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top" wrapText="1"/>
    </xf>
    <xf numFmtId="0" fontId="27" fillId="0" borderId="7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3" fontId="27" fillId="0" borderId="7" xfId="48" applyNumberFormat="1" applyFont="1" applyFill="1" applyBorder="1" applyAlignment="1">
      <alignment horizontal="left" vertical="center" wrapText="1"/>
    </xf>
    <xf numFmtId="1" fontId="28" fillId="0" borderId="7" xfId="65" applyNumberFormat="1" applyFont="1" applyFill="1" applyBorder="1" applyAlignment="1">
      <alignment horizontal="left" vertical="center" wrapText="1"/>
    </xf>
    <xf numFmtId="3" fontId="28" fillId="0" borderId="7" xfId="48" applyNumberFormat="1" applyFont="1" applyFill="1" applyBorder="1" applyAlignment="1">
      <alignment horizontal="center" vertical="center" wrapText="1"/>
    </xf>
    <xf numFmtId="0" fontId="25" fillId="26" borderId="7" xfId="59" applyNumberFormat="1" applyFont="1" applyFill="1" applyBorder="1" applyAlignment="1">
      <alignment horizontal="center" vertical="top" wrapText="1"/>
    </xf>
    <xf numFmtId="1" fontId="27" fillId="0" borderId="10" xfId="65" applyNumberFormat="1" applyFont="1" applyFill="1" applyBorder="1" applyAlignment="1">
      <alignment horizontal="left" vertical="center" wrapText="1"/>
    </xf>
    <xf numFmtId="1" fontId="27" fillId="0" borderId="25" xfId="65" applyNumberFormat="1" applyFont="1" applyFill="1" applyBorder="1" applyAlignment="1">
      <alignment horizontal="left" vertical="center" wrapText="1"/>
    </xf>
    <xf numFmtId="1" fontId="27" fillId="0" borderId="9" xfId="65" applyNumberFormat="1" applyFont="1" applyFill="1" applyBorder="1" applyAlignment="1">
      <alignment horizontal="left" vertical="center" wrapText="1"/>
    </xf>
    <xf numFmtId="0" fontId="27" fillId="24" borderId="9" xfId="0" applyNumberFormat="1" applyFont="1" applyFill="1" applyBorder="1" applyAlignment="1" applyProtection="1">
      <alignment horizontal="center" vertical="center" wrapText="1"/>
    </xf>
    <xf numFmtId="0" fontId="29" fillId="26" borderId="7" xfId="0" applyNumberFormat="1" applyFont="1" applyFill="1" applyBorder="1" applyAlignment="1">
      <alignment horizontal="center" vertical="top" wrapText="1"/>
    </xf>
    <xf numFmtId="0" fontId="25" fillId="26" borderId="7" xfId="0" applyNumberFormat="1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left" vertical="center" wrapText="1"/>
    </xf>
    <xf numFmtId="0" fontId="25" fillId="24" borderId="0" xfId="0" applyNumberFormat="1" applyFont="1" applyFill="1" applyBorder="1" applyAlignment="1" applyProtection="1">
      <alignment horizontal="center" wrapText="1"/>
    </xf>
    <xf numFmtId="0" fontId="25" fillId="26" borderId="7" xfId="59" applyNumberFormat="1" applyFont="1" applyFill="1" applyBorder="1" applyAlignment="1">
      <alignment horizontal="center" vertical="justify" wrapText="1"/>
    </xf>
    <xf numFmtId="1" fontId="28" fillId="0" borderId="10" xfId="65" applyNumberFormat="1" applyFont="1" applyFill="1" applyBorder="1" applyAlignment="1">
      <alignment horizontal="center" vertical="center" wrapText="1"/>
    </xf>
    <xf numFmtId="1" fontId="28" fillId="0" borderId="25" xfId="65" applyNumberFormat="1" applyFont="1" applyFill="1" applyBorder="1" applyAlignment="1">
      <alignment horizontal="center" vertical="center" wrapText="1"/>
    </xf>
    <xf numFmtId="3" fontId="28" fillId="0" borderId="10" xfId="48" applyNumberFormat="1" applyFont="1" applyFill="1" applyBorder="1" applyAlignment="1">
      <alignment horizontal="left" vertical="center" wrapText="1"/>
    </xf>
    <xf numFmtId="3" fontId="28" fillId="0" borderId="9" xfId="48" applyNumberFormat="1" applyFont="1" applyFill="1" applyBorder="1" applyAlignment="1">
      <alignment horizontal="left" vertical="center" wrapText="1"/>
    </xf>
    <xf numFmtId="1" fontId="27" fillId="0" borderId="7" xfId="65" applyNumberFormat="1" applyFont="1" applyFill="1" applyBorder="1" applyAlignment="1">
      <alignment horizontal="left" vertical="center" wrapText="1"/>
    </xf>
  </cellXfs>
  <cellStyles count="87">
    <cellStyle name="20% - Акцент1" xfId="1"/>
    <cellStyle name="20% — акцент1" xfId="69" builtinId="30" hidden="1"/>
    <cellStyle name="20% - Акцент2" xfId="2"/>
    <cellStyle name="20% — акцент2" xfId="72" builtinId="34" hidden="1"/>
    <cellStyle name="20% - Акцент3" xfId="3"/>
    <cellStyle name="20% — акцент3" xfId="75" builtinId="38" hidden="1"/>
    <cellStyle name="20% - Акцент4" xfId="4"/>
    <cellStyle name="20% — акцент4" xfId="78" builtinId="42" hidden="1"/>
    <cellStyle name="20% - Акцент5" xfId="5"/>
    <cellStyle name="20% — акцент5" xfId="81" builtinId="46" hidden="1"/>
    <cellStyle name="20% - Акцент6" xfId="6"/>
    <cellStyle name="20% — акцент6" xfId="84" builtinId="50" hidden="1"/>
    <cellStyle name="40% - Акцент1" xfId="7"/>
    <cellStyle name="40% — акцент1" xfId="70" builtinId="31" hidden="1"/>
    <cellStyle name="40% - Акцент2" xfId="8"/>
    <cellStyle name="40% — акцент2" xfId="73" builtinId="35" hidden="1"/>
    <cellStyle name="40% - Акцент3" xfId="9"/>
    <cellStyle name="40% — акцент3" xfId="76" builtinId="39" hidden="1"/>
    <cellStyle name="40% - Акцент4" xfId="10"/>
    <cellStyle name="40% — акцент4" xfId="79" builtinId="43" hidden="1"/>
    <cellStyle name="40% - Акцент5" xfId="11"/>
    <cellStyle name="40% — акцент5" xfId="82" builtinId="47" hidden="1"/>
    <cellStyle name="40% - Акцент6" xfId="12"/>
    <cellStyle name="40% — акцент6" xfId="85" builtinId="51" hidden="1"/>
    <cellStyle name="60% - Акцент1" xfId="13"/>
    <cellStyle name="60% — акцент1" xfId="71" builtinId="32" hidden="1"/>
    <cellStyle name="60% - Акцент2" xfId="14"/>
    <cellStyle name="60% — акцент2" xfId="74" builtinId="36" hidden="1"/>
    <cellStyle name="60% - Акцент3" xfId="15"/>
    <cellStyle name="60% — акцент3" xfId="77" builtinId="40" hidden="1"/>
    <cellStyle name="60% - Акцент4" xfId="16"/>
    <cellStyle name="60% — акцент4" xfId="80" builtinId="44" hidden="1"/>
    <cellStyle name="60% - Акцент5" xfId="17"/>
    <cellStyle name="60% — акцент5" xfId="83" builtinId="48" hidden="1"/>
    <cellStyle name="60% - Акцент6" xfId="18"/>
    <cellStyle name="60% — акцент6" xfId="86" builtinId="52" hidden="1"/>
    <cellStyle name="Normal_meresha_07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вод " xfId="26"/>
    <cellStyle name="Вывод" xfId="27"/>
    <cellStyle name="Вычисление" xfId="28"/>
    <cellStyle name="Звичайний 10" xfId="29"/>
    <cellStyle name="Звичайний 11" xfId="30"/>
    <cellStyle name="Звичайний 12" xfId="31"/>
    <cellStyle name="Звичайний 13" xfId="32"/>
    <cellStyle name="Звичайний 14" xfId="33"/>
    <cellStyle name="Звичайний 15" xfId="34"/>
    <cellStyle name="Звичайний 16" xfId="35"/>
    <cellStyle name="Звичайний 17" xfId="36"/>
    <cellStyle name="Звичайний 18" xfId="37"/>
    <cellStyle name="Звичайний 19" xfId="38"/>
    <cellStyle name="Звичайний 2" xfId="39"/>
    <cellStyle name="Звичайний 20" xfId="40"/>
    <cellStyle name="Звичайний 3" xfId="41"/>
    <cellStyle name="Звичайний 4" xfId="42"/>
    <cellStyle name="Звичайний 5" xfId="43"/>
    <cellStyle name="Звичайний 6" xfId="44"/>
    <cellStyle name="Звичайний 7" xfId="45"/>
    <cellStyle name="Звичайний 8" xfId="46"/>
    <cellStyle name="Звичайний 9" xfId="47"/>
    <cellStyle name="Звичайний_Додаток _ 3 зм_ни 4575" xfId="48"/>
    <cellStyle name="Звичайний_Додаток _ 3 зм_ни 4575_02-Dod rishena" xfId="49"/>
    <cellStyle name="Звичайний_Додаток _ 3 зм_ни 4575_02-Dod rishena_Додатки до бюджету 2020" xfId="50"/>
    <cellStyle name="Итог" xfId="51"/>
    <cellStyle name="Контрольная ячейка" xfId="52"/>
    <cellStyle name="Название" xfId="53"/>
    <cellStyle name="Нейтральный" xfId="54"/>
    <cellStyle name="Обычный" xfId="0" builtinId="0"/>
    <cellStyle name="Обычный 2" xfId="55"/>
    <cellStyle name="Обычный 3" xfId="56"/>
    <cellStyle name="Обычный_дод.1" xfId="57"/>
    <cellStyle name="Обычный_додат_до_бюдж_2017" xfId="58"/>
    <cellStyle name="Обычный_Копия додаток_3" xfId="59"/>
    <cellStyle name="Обычный_Лист1" xfId="60"/>
    <cellStyle name="Плохой" xfId="61"/>
    <cellStyle name="Пояснение" xfId="62"/>
    <cellStyle name="Примечание" xfId="63"/>
    <cellStyle name="Связанная ячейка" xfId="64"/>
    <cellStyle name="Стиль 1" xfId="65"/>
    <cellStyle name="Текст предупреждения" xfId="66"/>
    <cellStyle name="Финансовый" xfId="67" builtinId="3"/>
    <cellStyle name="Хороший" xfId="6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Volume_1\Work\32%20VI\&#1057;&#1077;&#1089;&#1110;&#1111;\2018\&#1088;&#1086;&#1079;&#1087;&#1086;&#1088;&#1103;&#1076;&#1078;&#1077;&#1085;&#1085;&#1103;\&#1076;&#1086;&#1076;&#1072;&#1090;&#1082;&#1080;%20&#1076;&#1086;%20&#1088;&#1086;&#1079;&#1087;.320-&#1088;%20&#1082;&#1072;&#1087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.1 "/>
      <sheetName val="дод.2"/>
      <sheetName val="дод.3"/>
      <sheetName val="дод.4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19"/>
  </sheetPr>
  <dimension ref="A1:IS128"/>
  <sheetViews>
    <sheetView showGridLines="0" showZeros="0" topLeftCell="A100" zoomScaleNormal="100" zoomScaleSheetLayoutView="100" workbookViewId="0">
      <selection activeCell="B132" sqref="B132"/>
    </sheetView>
  </sheetViews>
  <sheetFormatPr defaultColWidth="9.1640625" defaultRowHeight="12.75" x14ac:dyDescent="0.2"/>
  <cols>
    <col min="1" max="1" width="14.1640625" style="78" customWidth="1"/>
    <col min="2" max="2" width="86.33203125" style="2" customWidth="1"/>
    <col min="3" max="3" width="13.33203125" style="2" customWidth="1"/>
    <col min="4" max="4" width="13.1640625" style="2" customWidth="1"/>
    <col min="5" max="5" width="12.33203125" style="2" customWidth="1"/>
    <col min="6" max="6" width="10.5" style="2" customWidth="1"/>
    <col min="7" max="7" width="13.33203125" style="2" customWidth="1"/>
    <col min="8" max="8" width="14" style="2" bestFit="1" customWidth="1"/>
    <col min="9" max="9" width="84.6640625" style="2" customWidth="1"/>
    <col min="10" max="12" width="9.1640625" style="2" customWidth="1"/>
    <col min="13" max="244" width="9.1640625" style="3" customWidth="1"/>
    <col min="245" max="253" width="9.1640625" style="2" customWidth="1"/>
    <col min="254" max="16384" width="9.1640625" style="3"/>
  </cols>
  <sheetData>
    <row r="1" spans="1:253" ht="86.25" customHeight="1" x14ac:dyDescent="0.2">
      <c r="C1" s="521" t="s">
        <v>377</v>
      </c>
      <c r="D1" s="521"/>
      <c r="E1" s="521"/>
      <c r="F1" s="521"/>
      <c r="M1" s="2"/>
    </row>
    <row r="2" spans="1:253" ht="6" customHeight="1" x14ac:dyDescent="0.2">
      <c r="C2" s="1"/>
      <c r="D2" s="1"/>
      <c r="E2" s="1"/>
      <c r="F2" s="1"/>
      <c r="M2" s="2"/>
    </row>
    <row r="3" spans="1:253" ht="20.25" x14ac:dyDescent="0.2">
      <c r="A3" s="523" t="s">
        <v>358</v>
      </c>
      <c r="B3" s="523"/>
      <c r="C3" s="523"/>
      <c r="D3" s="523"/>
      <c r="E3" s="523"/>
      <c r="F3" s="523"/>
    </row>
    <row r="4" spans="1:253" ht="20.25" x14ac:dyDescent="0.2">
      <c r="A4" s="524">
        <v>24533000000</v>
      </c>
      <c r="B4" s="524"/>
      <c r="C4" s="77"/>
      <c r="D4" s="77"/>
      <c r="E4" s="77"/>
      <c r="F4" s="77"/>
    </row>
    <row r="5" spans="1:253" ht="12.75" customHeight="1" x14ac:dyDescent="0.2">
      <c r="A5" s="505" t="s">
        <v>287</v>
      </c>
      <c r="B5" s="286"/>
      <c r="C5" s="77"/>
      <c r="D5" s="77"/>
      <c r="E5" s="77"/>
      <c r="F5" s="77"/>
    </row>
    <row r="6" spans="1:253" ht="11.25" customHeight="1" x14ac:dyDescent="0.2">
      <c r="B6" s="11"/>
      <c r="C6" s="11"/>
      <c r="D6" s="11"/>
      <c r="E6" s="11"/>
      <c r="F6" s="12" t="s">
        <v>76</v>
      </c>
    </row>
    <row r="7" spans="1:253" s="5" customFormat="1" ht="31.5" customHeight="1" x14ac:dyDescent="0.25">
      <c r="A7" s="522" t="s">
        <v>6</v>
      </c>
      <c r="B7" s="522" t="s">
        <v>279</v>
      </c>
      <c r="C7" s="522" t="s">
        <v>167</v>
      </c>
      <c r="D7" s="522" t="s">
        <v>17</v>
      </c>
      <c r="E7" s="522" t="s">
        <v>18</v>
      </c>
      <c r="F7" s="522"/>
      <c r="G7" s="4"/>
      <c r="H7" s="4"/>
      <c r="I7" s="4"/>
      <c r="J7" s="4"/>
      <c r="K7" s="4"/>
      <c r="L7" s="4"/>
      <c r="IK7" s="4"/>
      <c r="IL7" s="4"/>
      <c r="IM7" s="4"/>
      <c r="IN7" s="4"/>
      <c r="IO7" s="4"/>
      <c r="IP7" s="4"/>
      <c r="IQ7" s="4"/>
      <c r="IR7" s="4"/>
      <c r="IS7" s="4"/>
    </row>
    <row r="8" spans="1:253" s="5" customFormat="1" ht="53.25" customHeight="1" x14ac:dyDescent="0.25">
      <c r="A8" s="522"/>
      <c r="B8" s="522"/>
      <c r="C8" s="522"/>
      <c r="D8" s="522"/>
      <c r="E8" s="156" t="s">
        <v>158</v>
      </c>
      <c r="F8" s="281" t="s">
        <v>157</v>
      </c>
      <c r="G8" s="4"/>
      <c r="H8" s="4"/>
      <c r="I8" s="4"/>
      <c r="J8" s="4"/>
      <c r="K8" s="4"/>
      <c r="L8" s="4"/>
      <c r="IK8" s="4"/>
      <c r="IL8" s="4"/>
      <c r="IM8" s="4"/>
      <c r="IN8" s="4"/>
      <c r="IO8" s="4"/>
      <c r="IP8" s="4"/>
      <c r="IQ8" s="4"/>
      <c r="IR8" s="4"/>
      <c r="IS8" s="4"/>
    </row>
    <row r="9" spans="1:253" s="5" customFormat="1" ht="15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4"/>
      <c r="H9" s="4"/>
      <c r="I9" s="4"/>
      <c r="J9" s="4"/>
      <c r="K9" s="4"/>
      <c r="L9" s="4"/>
      <c r="IK9" s="4"/>
      <c r="IL9" s="4"/>
      <c r="IM9" s="4"/>
      <c r="IN9" s="4"/>
      <c r="IO9" s="4"/>
      <c r="IP9" s="4"/>
      <c r="IQ9" s="4"/>
      <c r="IR9" s="4"/>
      <c r="IS9" s="4"/>
    </row>
    <row r="10" spans="1:253" s="73" customFormat="1" ht="19.5" customHeight="1" x14ac:dyDescent="0.2">
      <c r="A10" s="236">
        <v>10000000</v>
      </c>
      <c r="B10" s="237" t="s">
        <v>7</v>
      </c>
      <c r="C10" s="238">
        <f t="shared" ref="C10:C45" si="0">SUM(D10+E10)</f>
        <v>65281800</v>
      </c>
      <c r="D10" s="235">
        <f>SUM(D11+D19+D21+D26+D32+D34+D36+D38+D57)</f>
        <v>65231300</v>
      </c>
      <c r="E10" s="235">
        <f>SUM(E11+E19+E21+E26+E32+E34+E36+E38+E57)</f>
        <v>50500</v>
      </c>
      <c r="F10" s="235">
        <f>SUM(F11+F19+F21+F26+F32+F34+F36+F38+F57)</f>
        <v>0</v>
      </c>
      <c r="G10" s="72"/>
      <c r="H10" s="42"/>
      <c r="I10" s="43"/>
      <c r="J10" s="72"/>
      <c r="K10" s="72"/>
      <c r="L10" s="72"/>
      <c r="IK10" s="72"/>
      <c r="IL10" s="72"/>
      <c r="IM10" s="72"/>
      <c r="IN10" s="72"/>
      <c r="IO10" s="72"/>
      <c r="IP10" s="72"/>
      <c r="IQ10" s="72"/>
      <c r="IR10" s="72"/>
      <c r="IS10" s="72"/>
    </row>
    <row r="11" spans="1:253" s="19" customFormat="1" ht="30" x14ac:dyDescent="0.25">
      <c r="A11" s="16">
        <v>11000000</v>
      </c>
      <c r="B11" s="17" t="s">
        <v>8</v>
      </c>
      <c r="C11" s="67">
        <f t="shared" si="0"/>
        <v>49306000</v>
      </c>
      <c r="D11" s="51">
        <f>SUM(D12+D17)</f>
        <v>49306000</v>
      </c>
      <c r="E11" s="51">
        <f>SUM(E12+E17)</f>
        <v>0</v>
      </c>
      <c r="F11" s="51">
        <f>SUM(F12+F17)</f>
        <v>0</v>
      </c>
      <c r="G11" s="18"/>
      <c r="H11" s="44"/>
      <c r="I11" s="45"/>
      <c r="J11" s="18"/>
      <c r="K11" s="18"/>
      <c r="L11" s="18"/>
      <c r="IK11" s="18"/>
      <c r="IL11" s="18"/>
      <c r="IM11" s="18"/>
      <c r="IN11" s="18"/>
      <c r="IO11" s="18"/>
      <c r="IP11" s="18"/>
      <c r="IQ11" s="18"/>
      <c r="IR11" s="18"/>
      <c r="IS11" s="18"/>
    </row>
    <row r="12" spans="1:253" s="70" customFormat="1" ht="15" x14ac:dyDescent="0.25">
      <c r="A12" s="20">
        <v>11010000</v>
      </c>
      <c r="B12" s="21" t="s">
        <v>31</v>
      </c>
      <c r="C12" s="68">
        <f t="shared" si="0"/>
        <v>49277000</v>
      </c>
      <c r="D12" s="71">
        <f>SUM(D13:D16)</f>
        <v>49277000</v>
      </c>
      <c r="E12" s="71">
        <f>SUM(E13:E16)</f>
        <v>0</v>
      </c>
      <c r="F12" s="71">
        <f>SUM(F13:F16)</f>
        <v>0</v>
      </c>
      <c r="H12" s="48"/>
      <c r="I12" s="40"/>
    </row>
    <row r="13" spans="1:253" s="7" customFormat="1" ht="30" x14ac:dyDescent="0.25">
      <c r="A13" s="6">
        <v>11010100</v>
      </c>
      <c r="B13" s="8" t="s">
        <v>32</v>
      </c>
      <c r="C13" s="57">
        <f t="shared" si="0"/>
        <v>47020000</v>
      </c>
      <c r="D13" s="100">
        <v>47020000</v>
      </c>
      <c r="E13" s="52"/>
      <c r="F13" s="52"/>
      <c r="H13" s="23"/>
      <c r="I13" s="24"/>
    </row>
    <row r="14" spans="1:253" s="7" customFormat="1" ht="47.25" customHeight="1" x14ac:dyDescent="0.25">
      <c r="A14" s="35">
        <v>11010200</v>
      </c>
      <c r="B14" s="36" t="s">
        <v>74</v>
      </c>
      <c r="C14" s="57">
        <f t="shared" si="0"/>
        <v>617000</v>
      </c>
      <c r="D14" s="52">
        <v>617000</v>
      </c>
      <c r="E14" s="52"/>
      <c r="F14" s="52"/>
      <c r="H14" s="23"/>
      <c r="I14" s="24"/>
    </row>
    <row r="15" spans="1:253" s="7" customFormat="1" ht="30" x14ac:dyDescent="0.2">
      <c r="A15" s="6">
        <v>11010400</v>
      </c>
      <c r="B15" s="8" t="s">
        <v>33</v>
      </c>
      <c r="C15" s="57">
        <f t="shared" si="0"/>
        <v>1250000</v>
      </c>
      <c r="D15" s="52">
        <v>1250000</v>
      </c>
      <c r="E15" s="52"/>
      <c r="F15" s="52"/>
    </row>
    <row r="16" spans="1:253" s="7" customFormat="1" ht="30" x14ac:dyDescent="0.25">
      <c r="A16" s="6">
        <v>11010500</v>
      </c>
      <c r="B16" s="8" t="s">
        <v>34</v>
      </c>
      <c r="C16" s="57">
        <f t="shared" si="0"/>
        <v>390000</v>
      </c>
      <c r="D16" s="52">
        <v>390000</v>
      </c>
      <c r="E16" s="52"/>
      <c r="F16" s="52"/>
      <c r="H16" s="23"/>
      <c r="I16" s="24"/>
    </row>
    <row r="17" spans="1:253" s="33" customFormat="1" ht="15" x14ac:dyDescent="0.25">
      <c r="A17" s="20">
        <v>11020000</v>
      </c>
      <c r="B17" s="21" t="s">
        <v>9</v>
      </c>
      <c r="C17" s="68">
        <f t="shared" si="0"/>
        <v>29000</v>
      </c>
      <c r="D17" s="69">
        <f>SUM(D18)</f>
        <v>29000</v>
      </c>
      <c r="E17" s="69">
        <f>SUM(E18)</f>
        <v>0</v>
      </c>
      <c r="F17" s="69">
        <f>SUM(F18)</f>
        <v>0</v>
      </c>
      <c r="H17" s="48"/>
      <c r="I17" s="40"/>
    </row>
    <row r="18" spans="1:253" s="10" customFormat="1" ht="21" customHeight="1" x14ac:dyDescent="0.25">
      <c r="A18" s="35">
        <v>11020200</v>
      </c>
      <c r="B18" s="161" t="s">
        <v>75</v>
      </c>
      <c r="C18" s="57">
        <f t="shared" si="0"/>
        <v>29000</v>
      </c>
      <c r="D18" s="53">
        <v>29000</v>
      </c>
      <c r="E18" s="53"/>
      <c r="F18" s="53"/>
      <c r="G18" s="9"/>
      <c r="H18" s="23"/>
      <c r="I18" s="24"/>
      <c r="J18" s="9"/>
      <c r="K18" s="9"/>
      <c r="L18" s="9"/>
      <c r="IK18" s="9"/>
      <c r="IL18" s="9"/>
      <c r="IM18" s="9"/>
      <c r="IN18" s="9"/>
      <c r="IO18" s="9"/>
      <c r="IP18" s="9"/>
      <c r="IQ18" s="9"/>
      <c r="IR18" s="9"/>
      <c r="IS18" s="9"/>
    </row>
    <row r="19" spans="1:253" s="10" customFormat="1" ht="15" hidden="1" x14ac:dyDescent="0.25">
      <c r="A19" s="6">
        <v>12000000</v>
      </c>
      <c r="B19" s="8" t="s">
        <v>27</v>
      </c>
      <c r="C19" s="49">
        <f t="shared" si="0"/>
        <v>0</v>
      </c>
      <c r="D19" s="53"/>
      <c r="E19" s="53"/>
      <c r="F19" s="53"/>
      <c r="G19" s="9"/>
      <c r="J19" s="9"/>
      <c r="K19" s="9"/>
      <c r="L19" s="9"/>
      <c r="IK19" s="9"/>
      <c r="IL19" s="9"/>
      <c r="IM19" s="9"/>
      <c r="IN19" s="9"/>
      <c r="IO19" s="9"/>
      <c r="IP19" s="9"/>
      <c r="IQ19" s="9"/>
      <c r="IR19" s="9"/>
      <c r="IS19" s="9"/>
    </row>
    <row r="20" spans="1:253" s="10" customFormat="1" ht="15" hidden="1" x14ac:dyDescent="0.25">
      <c r="A20" s="6" t="s">
        <v>26</v>
      </c>
      <c r="B20" s="8" t="s">
        <v>26</v>
      </c>
      <c r="C20" s="49">
        <f t="shared" si="0"/>
        <v>0</v>
      </c>
      <c r="D20" s="53"/>
      <c r="E20" s="53"/>
      <c r="F20" s="53"/>
      <c r="G20" s="9"/>
      <c r="H20" s="23"/>
      <c r="I20" s="24"/>
      <c r="J20" s="9"/>
      <c r="K20" s="9"/>
      <c r="L20" s="9"/>
      <c r="IK20" s="9"/>
      <c r="IL20" s="9"/>
      <c r="IM20" s="9"/>
      <c r="IN20" s="9"/>
      <c r="IO20" s="9"/>
      <c r="IP20" s="9"/>
      <c r="IQ20" s="9"/>
      <c r="IR20" s="9"/>
      <c r="IS20" s="9"/>
    </row>
    <row r="21" spans="1:253" s="19" customFormat="1" ht="20.25" customHeight="1" x14ac:dyDescent="0.25">
      <c r="A21" s="16">
        <v>13000000</v>
      </c>
      <c r="B21" s="17" t="s">
        <v>331</v>
      </c>
      <c r="C21" s="67">
        <f t="shared" si="0"/>
        <v>27200</v>
      </c>
      <c r="D21" s="51">
        <f>D22+D24</f>
        <v>27200</v>
      </c>
      <c r="E21" s="51">
        <f>E23+E25</f>
        <v>0</v>
      </c>
      <c r="F21" s="51">
        <f>F23+F25</f>
        <v>0</v>
      </c>
      <c r="G21" s="18"/>
      <c r="H21" s="44"/>
      <c r="I21" s="45"/>
      <c r="J21" s="18"/>
      <c r="K21" s="18"/>
      <c r="L21" s="18"/>
      <c r="IK21" s="18"/>
      <c r="IL21" s="18"/>
      <c r="IM21" s="18"/>
      <c r="IN21" s="18"/>
      <c r="IO21" s="18"/>
      <c r="IP21" s="18"/>
      <c r="IQ21" s="18"/>
      <c r="IR21" s="18"/>
      <c r="IS21" s="18"/>
    </row>
    <row r="22" spans="1:253" s="34" customFormat="1" ht="15" x14ac:dyDescent="0.25">
      <c r="A22" s="20">
        <v>13010000</v>
      </c>
      <c r="B22" s="21" t="s">
        <v>332</v>
      </c>
      <c r="C22" s="56">
        <f>SUM(D22+E22)</f>
        <v>17200</v>
      </c>
      <c r="D22" s="54">
        <f>D23</f>
        <v>17200</v>
      </c>
      <c r="E22" s="54"/>
      <c r="F22" s="54"/>
      <c r="G22" s="33"/>
      <c r="H22" s="48"/>
      <c r="I22" s="40"/>
      <c r="J22" s="33"/>
      <c r="K22" s="33"/>
      <c r="L22" s="33"/>
      <c r="IK22" s="33"/>
      <c r="IL22" s="33"/>
      <c r="IM22" s="33"/>
      <c r="IN22" s="33"/>
      <c r="IO22" s="33"/>
      <c r="IP22" s="33"/>
      <c r="IQ22" s="33"/>
      <c r="IR22" s="33"/>
      <c r="IS22" s="33"/>
    </row>
    <row r="23" spans="1:253" s="10" customFormat="1" ht="45" x14ac:dyDescent="0.25">
      <c r="A23" s="35">
        <v>13010200</v>
      </c>
      <c r="B23" s="162" t="s">
        <v>316</v>
      </c>
      <c r="C23" s="57">
        <f t="shared" si="0"/>
        <v>17200</v>
      </c>
      <c r="D23" s="53">
        <v>17200</v>
      </c>
      <c r="E23" s="53"/>
      <c r="F23" s="53"/>
      <c r="G23" s="9"/>
      <c r="H23" s="23"/>
      <c r="I23" s="24"/>
      <c r="J23" s="9"/>
      <c r="K23" s="9"/>
      <c r="L23" s="9"/>
      <c r="IK23" s="9"/>
      <c r="IL23" s="9"/>
      <c r="IM23" s="9"/>
      <c r="IN23" s="9"/>
      <c r="IO23" s="9"/>
      <c r="IP23" s="9"/>
      <c r="IQ23" s="9"/>
      <c r="IR23" s="9"/>
      <c r="IS23" s="9"/>
    </row>
    <row r="24" spans="1:253" s="34" customFormat="1" ht="15" x14ac:dyDescent="0.25">
      <c r="A24" s="471">
        <v>13030000</v>
      </c>
      <c r="B24" s="472" t="s">
        <v>333</v>
      </c>
      <c r="C24" s="56">
        <f>SUM(D24+E24)</f>
        <v>10000</v>
      </c>
      <c r="D24" s="54">
        <f>D25</f>
        <v>10000</v>
      </c>
      <c r="E24" s="54"/>
      <c r="F24" s="54"/>
      <c r="G24" s="33"/>
      <c r="H24" s="48"/>
      <c r="I24" s="40"/>
      <c r="J24" s="33"/>
      <c r="K24" s="33"/>
      <c r="L24" s="33"/>
      <c r="IK24" s="33"/>
      <c r="IL24" s="33"/>
      <c r="IM24" s="33"/>
      <c r="IN24" s="33"/>
      <c r="IO24" s="33"/>
      <c r="IP24" s="33"/>
      <c r="IQ24" s="33"/>
      <c r="IR24" s="33"/>
      <c r="IS24" s="33"/>
    </row>
    <row r="25" spans="1:253" s="10" customFormat="1" ht="30" x14ac:dyDescent="0.25">
      <c r="A25" s="35">
        <v>13030200</v>
      </c>
      <c r="B25" s="162" t="s">
        <v>317</v>
      </c>
      <c r="C25" s="57">
        <f t="shared" si="0"/>
        <v>10000</v>
      </c>
      <c r="D25" s="53">
        <v>10000</v>
      </c>
      <c r="E25" s="53"/>
      <c r="F25" s="53"/>
      <c r="G25" s="9"/>
      <c r="J25" s="9"/>
      <c r="K25" s="9"/>
      <c r="L25" s="9"/>
      <c r="IK25" s="9"/>
      <c r="IL25" s="9"/>
      <c r="IM25" s="9"/>
      <c r="IN25" s="9"/>
      <c r="IO25" s="9"/>
      <c r="IP25" s="9"/>
      <c r="IQ25" s="9"/>
      <c r="IR25" s="9"/>
      <c r="IS25" s="9"/>
    </row>
    <row r="26" spans="1:253" s="19" customFormat="1" ht="15" x14ac:dyDescent="0.25">
      <c r="A26" s="16">
        <v>14000000</v>
      </c>
      <c r="B26" s="17" t="s">
        <v>15</v>
      </c>
      <c r="C26" s="67">
        <f t="shared" si="0"/>
        <v>1988100</v>
      </c>
      <c r="D26" s="51">
        <f>D27+D29+D31</f>
        <v>1988100</v>
      </c>
      <c r="E26" s="51">
        <f>E28+E30+E31</f>
        <v>0</v>
      </c>
      <c r="F26" s="51">
        <f>F28+F30+F31</f>
        <v>0</v>
      </c>
      <c r="G26" s="18"/>
      <c r="H26" s="44"/>
      <c r="I26" s="45"/>
      <c r="J26" s="18"/>
      <c r="K26" s="18"/>
      <c r="L26" s="18"/>
      <c r="IK26" s="18"/>
      <c r="IL26" s="18"/>
      <c r="IM26" s="18"/>
      <c r="IN26" s="18"/>
      <c r="IO26" s="18"/>
      <c r="IP26" s="18"/>
      <c r="IQ26" s="18"/>
      <c r="IR26" s="18"/>
      <c r="IS26" s="18"/>
    </row>
    <row r="27" spans="1:253" s="426" customFormat="1" ht="20.25" customHeight="1" x14ac:dyDescent="0.25">
      <c r="A27" s="20">
        <v>14020000</v>
      </c>
      <c r="B27" s="21" t="s">
        <v>318</v>
      </c>
      <c r="C27" s="56">
        <f>SUM(D27+E27)</f>
        <v>245000</v>
      </c>
      <c r="D27" s="107">
        <f>D28</f>
        <v>245000</v>
      </c>
      <c r="E27" s="54"/>
      <c r="F27" s="54"/>
      <c r="G27" s="18"/>
      <c r="H27" s="44"/>
      <c r="I27" s="45"/>
      <c r="J27" s="425"/>
      <c r="K27" s="425"/>
      <c r="L27" s="425"/>
      <c r="IK27" s="425"/>
      <c r="IL27" s="425"/>
      <c r="IM27" s="425"/>
      <c r="IN27" s="425"/>
      <c r="IO27" s="425"/>
      <c r="IP27" s="425"/>
      <c r="IQ27" s="425"/>
      <c r="IR27" s="425"/>
      <c r="IS27" s="425"/>
    </row>
    <row r="28" spans="1:253" s="19" customFormat="1" ht="20.25" customHeight="1" x14ac:dyDescent="0.25">
      <c r="A28" s="6">
        <v>14021900</v>
      </c>
      <c r="B28" s="8" t="s">
        <v>319</v>
      </c>
      <c r="C28" s="57">
        <f t="shared" si="0"/>
        <v>245000</v>
      </c>
      <c r="D28" s="105">
        <v>245000</v>
      </c>
      <c r="E28" s="53"/>
      <c r="F28" s="53"/>
      <c r="G28" s="18"/>
      <c r="H28" s="44"/>
      <c r="I28" s="45"/>
      <c r="J28" s="18"/>
      <c r="K28" s="18"/>
      <c r="L28" s="18"/>
      <c r="IK28" s="18"/>
      <c r="IL28" s="18"/>
      <c r="IM28" s="18"/>
      <c r="IN28" s="18"/>
      <c r="IO28" s="18"/>
      <c r="IP28" s="18"/>
      <c r="IQ28" s="18"/>
      <c r="IR28" s="18"/>
      <c r="IS28" s="18"/>
    </row>
    <row r="29" spans="1:253" s="426" customFormat="1" ht="30" x14ac:dyDescent="0.25">
      <c r="A29" s="20">
        <v>14030000</v>
      </c>
      <c r="B29" s="21" t="s">
        <v>136</v>
      </c>
      <c r="C29" s="56">
        <f>SUM(D29+E29)</f>
        <v>943100</v>
      </c>
      <c r="D29" s="107">
        <f>D30</f>
        <v>943100</v>
      </c>
      <c r="E29" s="54"/>
      <c r="F29" s="54"/>
      <c r="G29" s="18"/>
      <c r="H29" s="44"/>
      <c r="I29" s="45"/>
      <c r="J29" s="425"/>
      <c r="K29" s="425"/>
      <c r="L29" s="425"/>
      <c r="IK29" s="425"/>
      <c r="IL29" s="425"/>
      <c r="IM29" s="425"/>
      <c r="IN29" s="425"/>
      <c r="IO29" s="425"/>
      <c r="IP29" s="425"/>
      <c r="IQ29" s="425"/>
      <c r="IR29" s="425"/>
      <c r="IS29" s="425"/>
    </row>
    <row r="30" spans="1:253" s="19" customFormat="1" ht="15" x14ac:dyDescent="0.25">
      <c r="A30" s="6">
        <v>14031900</v>
      </c>
      <c r="B30" s="8" t="s">
        <v>319</v>
      </c>
      <c r="C30" s="57">
        <f t="shared" si="0"/>
        <v>943100</v>
      </c>
      <c r="D30" s="105">
        <v>943100</v>
      </c>
      <c r="E30" s="53"/>
      <c r="F30" s="53"/>
      <c r="G30" s="18"/>
      <c r="H30" s="44"/>
      <c r="I30" s="45"/>
      <c r="J30" s="18"/>
      <c r="K30" s="18"/>
      <c r="L30" s="18"/>
      <c r="IK30" s="18"/>
      <c r="IL30" s="18"/>
      <c r="IM30" s="18"/>
      <c r="IN30" s="18"/>
      <c r="IO30" s="18"/>
      <c r="IP30" s="18"/>
      <c r="IQ30" s="18"/>
      <c r="IR30" s="18"/>
      <c r="IS30" s="18"/>
    </row>
    <row r="31" spans="1:253" s="428" customFormat="1" ht="30" x14ac:dyDescent="0.25">
      <c r="A31" s="20">
        <v>14040000</v>
      </c>
      <c r="B31" s="21" t="s">
        <v>320</v>
      </c>
      <c r="C31" s="56">
        <f t="shared" si="0"/>
        <v>800000</v>
      </c>
      <c r="D31" s="107">
        <v>800000</v>
      </c>
      <c r="E31" s="54"/>
      <c r="F31" s="54"/>
      <c r="G31" s="427"/>
      <c r="H31" s="48"/>
      <c r="I31" s="40"/>
      <c r="J31" s="427"/>
      <c r="K31" s="427"/>
      <c r="L31" s="427"/>
      <c r="IK31" s="427"/>
      <c r="IL31" s="427"/>
      <c r="IM31" s="427"/>
      <c r="IN31" s="427"/>
      <c r="IO31" s="427"/>
      <c r="IP31" s="427"/>
      <c r="IQ31" s="427"/>
      <c r="IR31" s="427"/>
      <c r="IS31" s="427"/>
    </row>
    <row r="32" spans="1:253" s="10" customFormat="1" ht="15" hidden="1" x14ac:dyDescent="0.25">
      <c r="A32" s="6">
        <v>15000000</v>
      </c>
      <c r="B32" s="8" t="s">
        <v>28</v>
      </c>
      <c r="C32" s="49">
        <f t="shared" si="0"/>
        <v>0</v>
      </c>
      <c r="D32" s="53"/>
      <c r="E32" s="53"/>
      <c r="F32" s="53"/>
      <c r="G32" s="9"/>
      <c r="J32" s="9"/>
      <c r="K32" s="9"/>
      <c r="L32" s="9"/>
      <c r="IK32" s="9"/>
      <c r="IL32" s="9"/>
      <c r="IM32" s="9"/>
      <c r="IN32" s="9"/>
      <c r="IO32" s="9"/>
      <c r="IP32" s="9"/>
      <c r="IQ32" s="9"/>
      <c r="IR32" s="9"/>
      <c r="IS32" s="9"/>
    </row>
    <row r="33" spans="1:253" s="10" customFormat="1" ht="15" hidden="1" x14ac:dyDescent="0.25">
      <c r="A33" s="6" t="s">
        <v>26</v>
      </c>
      <c r="B33" s="8" t="s">
        <v>26</v>
      </c>
      <c r="C33" s="49">
        <f t="shared" si="0"/>
        <v>0</v>
      </c>
      <c r="D33" s="53"/>
      <c r="E33" s="53"/>
      <c r="F33" s="53"/>
      <c r="G33" s="9"/>
      <c r="J33" s="9"/>
      <c r="K33" s="9"/>
      <c r="L33" s="9"/>
      <c r="IK33" s="9"/>
      <c r="IL33" s="9"/>
      <c r="IM33" s="9"/>
      <c r="IN33" s="9"/>
      <c r="IO33" s="9"/>
      <c r="IP33" s="9"/>
      <c r="IQ33" s="9"/>
      <c r="IR33" s="9"/>
      <c r="IS33" s="9"/>
    </row>
    <row r="34" spans="1:253" s="10" customFormat="1" ht="15" hidden="1" x14ac:dyDescent="0.25">
      <c r="A34" s="6">
        <v>16000000</v>
      </c>
      <c r="B34" s="8" t="s">
        <v>29</v>
      </c>
      <c r="C34" s="49">
        <f t="shared" si="0"/>
        <v>0</v>
      </c>
      <c r="D34" s="53"/>
      <c r="E34" s="53"/>
      <c r="F34" s="53"/>
      <c r="G34" s="9"/>
      <c r="J34" s="9"/>
      <c r="K34" s="9"/>
      <c r="L34" s="9"/>
      <c r="IK34" s="9"/>
      <c r="IL34" s="9"/>
      <c r="IM34" s="9"/>
      <c r="IN34" s="9"/>
      <c r="IO34" s="9"/>
      <c r="IP34" s="9"/>
      <c r="IQ34" s="9"/>
      <c r="IR34" s="9"/>
      <c r="IS34" s="9"/>
    </row>
    <row r="35" spans="1:253" s="10" customFormat="1" ht="15" hidden="1" x14ac:dyDescent="0.25">
      <c r="A35" s="6" t="s">
        <v>26</v>
      </c>
      <c r="B35" s="8" t="s">
        <v>26</v>
      </c>
      <c r="C35" s="49">
        <f t="shared" si="0"/>
        <v>0</v>
      </c>
      <c r="D35" s="53"/>
      <c r="E35" s="53"/>
      <c r="F35" s="53"/>
      <c r="G35" s="9"/>
      <c r="J35" s="9"/>
      <c r="K35" s="9"/>
      <c r="L35" s="9"/>
      <c r="IK35" s="9"/>
      <c r="IL35" s="9"/>
      <c r="IM35" s="9"/>
      <c r="IN35" s="9"/>
      <c r="IO35" s="9"/>
      <c r="IP35" s="9"/>
      <c r="IQ35" s="9"/>
      <c r="IR35" s="9"/>
      <c r="IS35" s="9"/>
    </row>
    <row r="36" spans="1:253" s="10" customFormat="1" ht="15" hidden="1" x14ac:dyDescent="0.25">
      <c r="A36" s="6">
        <v>17000000</v>
      </c>
      <c r="B36" s="8" t="s">
        <v>16</v>
      </c>
      <c r="C36" s="49">
        <f t="shared" si="0"/>
        <v>0</v>
      </c>
      <c r="D36" s="53"/>
      <c r="E36" s="53"/>
      <c r="F36" s="53"/>
      <c r="G36" s="9"/>
      <c r="J36" s="9"/>
      <c r="K36" s="9"/>
      <c r="L36" s="9"/>
      <c r="IK36" s="9"/>
      <c r="IL36" s="9"/>
      <c r="IM36" s="9"/>
      <c r="IN36" s="9"/>
      <c r="IO36" s="9"/>
      <c r="IP36" s="9"/>
      <c r="IQ36" s="9"/>
      <c r="IR36" s="9"/>
      <c r="IS36" s="9"/>
    </row>
    <row r="37" spans="1:253" s="10" customFormat="1" ht="15" hidden="1" x14ac:dyDescent="0.25">
      <c r="A37" s="6" t="s">
        <v>26</v>
      </c>
      <c r="B37" s="8" t="s">
        <v>26</v>
      </c>
      <c r="C37" s="49">
        <f t="shared" si="0"/>
        <v>0</v>
      </c>
      <c r="D37" s="53"/>
      <c r="E37" s="53"/>
      <c r="F37" s="53"/>
      <c r="G37" s="9"/>
      <c r="J37" s="9"/>
      <c r="K37" s="9"/>
      <c r="L37" s="9"/>
      <c r="IK37" s="9"/>
      <c r="IL37" s="9"/>
      <c r="IM37" s="9"/>
      <c r="IN37" s="9"/>
      <c r="IO37" s="9"/>
      <c r="IP37" s="9"/>
      <c r="IQ37" s="9"/>
      <c r="IR37" s="9"/>
      <c r="IS37" s="9"/>
    </row>
    <row r="38" spans="1:253" s="19" customFormat="1" ht="15" x14ac:dyDescent="0.25">
      <c r="A38" s="16">
        <v>18000000</v>
      </c>
      <c r="B38" s="17" t="s">
        <v>30</v>
      </c>
      <c r="C38" s="67">
        <f t="shared" si="0"/>
        <v>13910000</v>
      </c>
      <c r="D38" s="106">
        <f>SUM(D39+D50+D53)</f>
        <v>13910000</v>
      </c>
      <c r="E38" s="106">
        <f>SUM(E39+E50+E53)</f>
        <v>0</v>
      </c>
      <c r="F38" s="106">
        <f>SUM(F39+F50+F53)</f>
        <v>0</v>
      </c>
      <c r="G38" s="18"/>
      <c r="H38" s="44"/>
      <c r="I38" s="45"/>
      <c r="J38" s="18"/>
      <c r="K38" s="18"/>
      <c r="L38" s="18"/>
      <c r="IK38" s="18"/>
      <c r="IL38" s="18"/>
      <c r="IM38" s="18"/>
      <c r="IN38" s="18"/>
      <c r="IO38" s="18"/>
      <c r="IP38" s="18"/>
      <c r="IQ38" s="18"/>
      <c r="IR38" s="18"/>
      <c r="IS38" s="18"/>
    </row>
    <row r="39" spans="1:253" s="34" customFormat="1" ht="15" x14ac:dyDescent="0.25">
      <c r="A39" s="20">
        <v>18010000</v>
      </c>
      <c r="B39" s="21" t="s">
        <v>35</v>
      </c>
      <c r="C39" s="68">
        <f t="shared" si="0"/>
        <v>6615000</v>
      </c>
      <c r="D39" s="107">
        <f>SUM(D40:D49)</f>
        <v>6615000</v>
      </c>
      <c r="E39" s="107">
        <f>SUM(E40:E49)</f>
        <v>0</v>
      </c>
      <c r="F39" s="107">
        <f>SUM(F40:F49)</f>
        <v>0</v>
      </c>
      <c r="G39" s="33"/>
      <c r="H39" s="48"/>
      <c r="I39" s="40"/>
      <c r="J39" s="33"/>
      <c r="K39" s="33"/>
      <c r="L39" s="33"/>
      <c r="IK39" s="33"/>
      <c r="IL39" s="33"/>
      <c r="IM39" s="33"/>
      <c r="IN39" s="33"/>
      <c r="IO39" s="33"/>
      <c r="IP39" s="33"/>
      <c r="IQ39" s="33"/>
      <c r="IR39" s="33"/>
      <c r="IS39" s="33"/>
    </row>
    <row r="40" spans="1:253" s="10" customFormat="1" ht="30" x14ac:dyDescent="0.25">
      <c r="A40" s="6">
        <v>18010100</v>
      </c>
      <c r="B40" s="8" t="s">
        <v>36</v>
      </c>
      <c r="C40" s="57">
        <f t="shared" si="0"/>
        <v>260000</v>
      </c>
      <c r="D40" s="105">
        <v>260000</v>
      </c>
      <c r="E40" s="53"/>
      <c r="F40" s="53"/>
      <c r="G40" s="9"/>
      <c r="H40" s="23"/>
      <c r="I40" s="24"/>
      <c r="J40" s="9"/>
      <c r="K40" s="9"/>
      <c r="L40" s="9"/>
      <c r="IK40" s="9"/>
      <c r="IL40" s="9"/>
      <c r="IM40" s="9"/>
      <c r="IN40" s="9"/>
      <c r="IO40" s="9"/>
      <c r="IP40" s="9"/>
      <c r="IQ40" s="9"/>
      <c r="IR40" s="9"/>
      <c r="IS40" s="9"/>
    </row>
    <row r="41" spans="1:253" s="10" customFormat="1" ht="30" x14ac:dyDescent="0.25">
      <c r="A41" s="6">
        <v>18010200</v>
      </c>
      <c r="B41" s="8" t="s">
        <v>37</v>
      </c>
      <c r="C41" s="57">
        <f t="shared" si="0"/>
        <v>135000</v>
      </c>
      <c r="D41" s="105">
        <v>135000</v>
      </c>
      <c r="E41" s="53"/>
      <c r="F41" s="53"/>
      <c r="G41" s="9"/>
      <c r="H41" s="23"/>
      <c r="I41" s="24"/>
      <c r="J41" s="9"/>
      <c r="K41" s="9"/>
      <c r="L41" s="9"/>
      <c r="IK41" s="9"/>
      <c r="IL41" s="9"/>
      <c r="IM41" s="9"/>
      <c r="IN41" s="9"/>
      <c r="IO41" s="9"/>
      <c r="IP41" s="9"/>
      <c r="IQ41" s="9"/>
      <c r="IR41" s="9"/>
      <c r="IS41" s="9"/>
    </row>
    <row r="42" spans="1:253" s="10" customFormat="1" ht="30" x14ac:dyDescent="0.25">
      <c r="A42" s="6">
        <v>18010300</v>
      </c>
      <c r="B42" s="8" t="s">
        <v>38</v>
      </c>
      <c r="C42" s="57">
        <f t="shared" si="0"/>
        <v>285000</v>
      </c>
      <c r="D42" s="105">
        <v>285000</v>
      </c>
      <c r="E42" s="53"/>
      <c r="F42" s="53"/>
      <c r="G42" s="9"/>
      <c r="H42" s="23"/>
      <c r="I42" s="24"/>
      <c r="J42" s="9"/>
      <c r="K42" s="9"/>
      <c r="L42" s="9"/>
      <c r="IK42" s="9"/>
      <c r="IL42" s="9"/>
      <c r="IM42" s="9"/>
      <c r="IN42" s="9"/>
      <c r="IO42" s="9"/>
      <c r="IP42" s="9"/>
      <c r="IQ42" s="9"/>
      <c r="IR42" s="9"/>
      <c r="IS42" s="9"/>
    </row>
    <row r="43" spans="1:253" s="10" customFormat="1" ht="35.25" customHeight="1" x14ac:dyDescent="0.25">
      <c r="A43" s="6">
        <v>18010400</v>
      </c>
      <c r="B43" s="8" t="s">
        <v>39</v>
      </c>
      <c r="C43" s="57">
        <f t="shared" si="0"/>
        <v>585000</v>
      </c>
      <c r="D43" s="105">
        <v>585000</v>
      </c>
      <c r="E43" s="53"/>
      <c r="F43" s="53"/>
      <c r="G43" s="9"/>
      <c r="H43" s="41"/>
      <c r="I43" s="41"/>
      <c r="J43" s="9"/>
      <c r="K43" s="9"/>
      <c r="L43" s="9"/>
      <c r="IK43" s="9"/>
      <c r="IL43" s="9"/>
      <c r="IM43" s="9"/>
      <c r="IN43" s="9"/>
      <c r="IO43" s="9"/>
      <c r="IP43" s="9"/>
      <c r="IQ43" s="9"/>
      <c r="IR43" s="9"/>
      <c r="IS43" s="9"/>
    </row>
    <row r="44" spans="1:253" s="10" customFormat="1" ht="15" x14ac:dyDescent="0.25">
      <c r="A44" s="6">
        <v>18010500</v>
      </c>
      <c r="B44" s="8" t="s">
        <v>40</v>
      </c>
      <c r="C44" s="57">
        <f t="shared" si="0"/>
        <v>1200000</v>
      </c>
      <c r="D44" s="105">
        <v>1200000</v>
      </c>
      <c r="E44" s="53"/>
      <c r="F44" s="53"/>
      <c r="G44" s="9"/>
      <c r="J44" s="9"/>
      <c r="K44" s="9"/>
      <c r="L44" s="9"/>
      <c r="IK44" s="9"/>
      <c r="IL44" s="9"/>
      <c r="IM44" s="9"/>
      <c r="IN44" s="9"/>
      <c r="IO44" s="9"/>
      <c r="IP44" s="9"/>
      <c r="IQ44" s="9"/>
      <c r="IR44" s="9"/>
      <c r="IS44" s="9"/>
    </row>
    <row r="45" spans="1:253" s="10" customFormat="1" ht="15" x14ac:dyDescent="0.25">
      <c r="A45" s="6">
        <v>18010600</v>
      </c>
      <c r="B45" s="8" t="s">
        <v>41</v>
      </c>
      <c r="C45" s="57">
        <f t="shared" si="0"/>
        <v>2850000</v>
      </c>
      <c r="D45" s="105">
        <v>2850000</v>
      </c>
      <c r="E45" s="53"/>
      <c r="F45" s="53"/>
      <c r="G45" s="9"/>
      <c r="J45" s="9"/>
      <c r="K45" s="9"/>
      <c r="L45" s="9"/>
      <c r="IK45" s="9"/>
      <c r="IL45" s="9"/>
      <c r="IM45" s="9"/>
      <c r="IN45" s="9"/>
      <c r="IO45" s="9"/>
      <c r="IP45" s="9"/>
      <c r="IQ45" s="9"/>
      <c r="IR45" s="9"/>
      <c r="IS45" s="9"/>
    </row>
    <row r="46" spans="1:253" s="10" customFormat="1" ht="15" x14ac:dyDescent="0.25">
      <c r="A46" s="6">
        <v>18010700</v>
      </c>
      <c r="B46" s="8" t="s">
        <v>42</v>
      </c>
      <c r="C46" s="57">
        <f t="shared" ref="C46:C79" si="1">SUM(D46+E46)</f>
        <v>300000</v>
      </c>
      <c r="D46" s="53">
        <v>300000</v>
      </c>
      <c r="E46" s="53"/>
      <c r="F46" s="53"/>
      <c r="G46" s="9"/>
      <c r="J46" s="9"/>
      <c r="K46" s="9"/>
      <c r="L46" s="9"/>
      <c r="IK46" s="9"/>
      <c r="IL46" s="9"/>
      <c r="IM46" s="9"/>
      <c r="IN46" s="9"/>
      <c r="IO46" s="9"/>
      <c r="IP46" s="9"/>
      <c r="IQ46" s="9"/>
      <c r="IR46" s="9"/>
      <c r="IS46" s="9"/>
    </row>
    <row r="47" spans="1:253" s="10" customFormat="1" ht="15" x14ac:dyDescent="0.25">
      <c r="A47" s="6">
        <v>18010900</v>
      </c>
      <c r="B47" s="8" t="s">
        <v>43</v>
      </c>
      <c r="C47" s="57">
        <f t="shared" si="1"/>
        <v>1000000</v>
      </c>
      <c r="D47" s="53">
        <v>1000000</v>
      </c>
      <c r="E47" s="53"/>
      <c r="F47" s="53"/>
      <c r="G47" s="9"/>
      <c r="J47" s="9"/>
      <c r="K47" s="9"/>
      <c r="L47" s="9"/>
      <c r="IK47" s="9"/>
      <c r="IL47" s="9"/>
      <c r="IM47" s="9"/>
      <c r="IN47" s="9"/>
      <c r="IO47" s="9"/>
      <c r="IP47" s="9"/>
      <c r="IQ47" s="9"/>
      <c r="IR47" s="9"/>
      <c r="IS47" s="9"/>
    </row>
    <row r="48" spans="1:253" s="10" customFormat="1" ht="15" hidden="1" x14ac:dyDescent="0.25">
      <c r="A48" s="6">
        <v>18011000</v>
      </c>
      <c r="B48" s="8" t="s">
        <v>191</v>
      </c>
      <c r="C48" s="57">
        <f t="shared" si="1"/>
        <v>0</v>
      </c>
      <c r="D48" s="53"/>
      <c r="E48" s="53"/>
      <c r="F48" s="53"/>
      <c r="G48" s="9"/>
      <c r="J48" s="9"/>
      <c r="K48" s="9"/>
      <c r="L48" s="9"/>
      <c r="IK48" s="9"/>
      <c r="IL48" s="9"/>
      <c r="IM48" s="9"/>
      <c r="IN48" s="9"/>
      <c r="IO48" s="9"/>
      <c r="IP48" s="9"/>
      <c r="IQ48" s="9"/>
      <c r="IR48" s="9"/>
      <c r="IS48" s="9"/>
    </row>
    <row r="49" spans="1:253" s="10" customFormat="1" ht="15" hidden="1" x14ac:dyDescent="0.25">
      <c r="A49" s="6">
        <v>18011100</v>
      </c>
      <c r="B49" s="8" t="s">
        <v>192</v>
      </c>
      <c r="C49" s="57">
        <f t="shared" si="1"/>
        <v>0</v>
      </c>
      <c r="D49" s="53"/>
      <c r="E49" s="53"/>
      <c r="F49" s="53"/>
      <c r="G49" s="9"/>
      <c r="J49" s="9"/>
      <c r="K49" s="9"/>
      <c r="L49" s="9"/>
      <c r="IK49" s="9"/>
      <c r="IL49" s="9"/>
      <c r="IM49" s="9"/>
      <c r="IN49" s="9"/>
      <c r="IO49" s="9"/>
      <c r="IP49" s="9"/>
      <c r="IQ49" s="9"/>
      <c r="IR49" s="9"/>
      <c r="IS49" s="9"/>
    </row>
    <row r="50" spans="1:253" s="34" customFormat="1" ht="15" x14ac:dyDescent="0.25">
      <c r="A50" s="20">
        <v>18030000</v>
      </c>
      <c r="B50" s="21" t="s">
        <v>193</v>
      </c>
      <c r="C50" s="68">
        <f t="shared" si="1"/>
        <v>20000</v>
      </c>
      <c r="D50" s="222">
        <f>D51+D52</f>
        <v>20000</v>
      </c>
      <c r="E50" s="222"/>
      <c r="F50" s="222">
        <f>SUM(F51)</f>
        <v>0</v>
      </c>
      <c r="G50" s="33"/>
      <c r="H50" s="48"/>
      <c r="I50" s="40"/>
      <c r="J50" s="33"/>
      <c r="K50" s="33"/>
      <c r="L50" s="33"/>
      <c r="IK50" s="33"/>
      <c r="IL50" s="33"/>
      <c r="IM50" s="33"/>
      <c r="IN50" s="33"/>
      <c r="IO50" s="33"/>
      <c r="IP50" s="33"/>
      <c r="IQ50" s="33"/>
      <c r="IR50" s="33"/>
      <c r="IS50" s="33"/>
    </row>
    <row r="51" spans="1:253" s="10" customFormat="1" ht="15" x14ac:dyDescent="0.25">
      <c r="A51" s="6">
        <v>18030100</v>
      </c>
      <c r="B51" s="8" t="s">
        <v>194</v>
      </c>
      <c r="C51" s="57">
        <f t="shared" si="1"/>
        <v>10000</v>
      </c>
      <c r="D51" s="53">
        <v>10000</v>
      </c>
      <c r="E51" s="53"/>
      <c r="F51" s="53"/>
      <c r="G51" s="9"/>
      <c r="H51" s="23"/>
      <c r="I51" s="24"/>
      <c r="J51" s="9"/>
      <c r="K51" s="9"/>
      <c r="L51" s="9"/>
      <c r="IK51" s="9"/>
      <c r="IL51" s="9"/>
      <c r="IM51" s="9"/>
      <c r="IN51" s="9"/>
      <c r="IO51" s="9"/>
      <c r="IP51" s="9"/>
      <c r="IQ51" s="9"/>
      <c r="IR51" s="9"/>
      <c r="IS51" s="9"/>
    </row>
    <row r="52" spans="1:253" s="10" customFormat="1" ht="15" x14ac:dyDescent="0.25">
      <c r="A52" s="6">
        <v>18030200</v>
      </c>
      <c r="B52" s="8" t="s">
        <v>315</v>
      </c>
      <c r="C52" s="57">
        <f t="shared" si="1"/>
        <v>10000</v>
      </c>
      <c r="D52" s="53">
        <v>10000</v>
      </c>
      <c r="E52" s="53"/>
      <c r="F52" s="53"/>
      <c r="G52" s="9"/>
      <c r="H52" s="23"/>
      <c r="I52" s="24"/>
      <c r="J52" s="9"/>
      <c r="K52" s="9"/>
      <c r="L52" s="9"/>
      <c r="IK52" s="9"/>
      <c r="IL52" s="9"/>
      <c r="IM52" s="9"/>
      <c r="IN52" s="9"/>
      <c r="IO52" s="9"/>
      <c r="IP52" s="9"/>
      <c r="IQ52" s="9"/>
      <c r="IR52" s="9"/>
      <c r="IS52" s="9"/>
    </row>
    <row r="53" spans="1:253" s="34" customFormat="1" ht="15" x14ac:dyDescent="0.25">
      <c r="A53" s="20">
        <v>18050000</v>
      </c>
      <c r="B53" s="21" t="s">
        <v>44</v>
      </c>
      <c r="C53" s="68">
        <f t="shared" si="1"/>
        <v>7275000</v>
      </c>
      <c r="D53" s="54">
        <f>SUM(D54:D56)</f>
        <v>7275000</v>
      </c>
      <c r="E53" s="54">
        <f>SUM(E54:E56)</f>
        <v>0</v>
      </c>
      <c r="F53" s="54">
        <f>SUM(F54:F56)</f>
        <v>0</v>
      </c>
      <c r="G53" s="33"/>
      <c r="H53" s="48"/>
      <c r="I53" s="40"/>
      <c r="J53" s="33"/>
      <c r="K53" s="33"/>
      <c r="L53" s="33"/>
      <c r="IK53" s="33"/>
      <c r="IL53" s="33"/>
      <c r="IM53" s="33"/>
      <c r="IN53" s="33"/>
      <c r="IO53" s="33"/>
      <c r="IP53" s="33"/>
      <c r="IQ53" s="33"/>
      <c r="IR53" s="33"/>
      <c r="IS53" s="33"/>
    </row>
    <row r="54" spans="1:253" s="10" customFormat="1" ht="15" x14ac:dyDescent="0.25">
      <c r="A54" s="6">
        <v>18050300</v>
      </c>
      <c r="B54" s="8" t="s">
        <v>45</v>
      </c>
      <c r="C54" s="57">
        <f t="shared" si="1"/>
        <v>720000</v>
      </c>
      <c r="D54" s="53">
        <v>720000</v>
      </c>
      <c r="E54" s="53"/>
      <c r="F54" s="53"/>
      <c r="G54" s="9"/>
      <c r="H54" s="23"/>
      <c r="I54" s="24"/>
      <c r="J54" s="9"/>
      <c r="K54" s="9"/>
      <c r="L54" s="9"/>
      <c r="IK54" s="9"/>
      <c r="IL54" s="9"/>
      <c r="IM54" s="9"/>
      <c r="IN54" s="9"/>
      <c r="IO54" s="9"/>
      <c r="IP54" s="9"/>
      <c r="IQ54" s="9"/>
      <c r="IR54" s="9"/>
      <c r="IS54" s="9"/>
    </row>
    <row r="55" spans="1:253" s="10" customFormat="1" ht="15" x14ac:dyDescent="0.25">
      <c r="A55" s="6">
        <v>18050400</v>
      </c>
      <c r="B55" s="8" t="s">
        <v>46</v>
      </c>
      <c r="C55" s="57">
        <f t="shared" si="1"/>
        <v>6500000</v>
      </c>
      <c r="D55" s="53">
        <v>6500000</v>
      </c>
      <c r="E55" s="53"/>
      <c r="F55" s="53"/>
      <c r="G55" s="9"/>
      <c r="H55" s="23"/>
      <c r="I55" s="24"/>
      <c r="J55" s="9"/>
      <c r="K55" s="9"/>
      <c r="L55" s="9"/>
      <c r="IK55" s="9"/>
      <c r="IL55" s="9"/>
      <c r="IM55" s="9"/>
      <c r="IN55" s="9"/>
      <c r="IO55" s="9"/>
      <c r="IP55" s="9"/>
      <c r="IQ55" s="9"/>
      <c r="IR55" s="9"/>
      <c r="IS55" s="9"/>
    </row>
    <row r="56" spans="1:253" s="10" customFormat="1" ht="45" x14ac:dyDescent="0.25">
      <c r="A56" s="6">
        <v>18050500</v>
      </c>
      <c r="B56" s="163" t="s">
        <v>195</v>
      </c>
      <c r="C56" s="57">
        <f t="shared" si="1"/>
        <v>55000</v>
      </c>
      <c r="D56" s="53">
        <v>55000</v>
      </c>
      <c r="E56" s="53"/>
      <c r="F56" s="53"/>
      <c r="G56" s="9"/>
      <c r="H56" s="23"/>
      <c r="I56" s="24"/>
      <c r="J56" s="9"/>
      <c r="K56" s="9"/>
      <c r="L56" s="9"/>
      <c r="IK56" s="9"/>
      <c r="IL56" s="9"/>
      <c r="IM56" s="9"/>
      <c r="IN56" s="9"/>
      <c r="IO56" s="9"/>
      <c r="IP56" s="9"/>
      <c r="IQ56" s="9"/>
      <c r="IR56" s="9"/>
      <c r="IS56" s="9"/>
    </row>
    <row r="57" spans="1:253" s="30" customFormat="1" ht="14.25" x14ac:dyDescent="0.2">
      <c r="A57" s="15">
        <v>19000000</v>
      </c>
      <c r="B57" s="39" t="s">
        <v>10</v>
      </c>
      <c r="C57" s="49">
        <f t="shared" si="1"/>
        <v>50500</v>
      </c>
      <c r="D57" s="50">
        <f>SUM(D58)</f>
        <v>0</v>
      </c>
      <c r="E57" s="50">
        <f>SUM(E58)</f>
        <v>50500</v>
      </c>
      <c r="F57" s="50">
        <f>SUM(F58)</f>
        <v>0</v>
      </c>
      <c r="G57" s="29"/>
      <c r="H57" s="42"/>
      <c r="I57" s="43"/>
      <c r="J57" s="29"/>
      <c r="K57" s="29"/>
      <c r="L57" s="29"/>
      <c r="IK57" s="29"/>
      <c r="IL57" s="29"/>
      <c r="IM57" s="29"/>
      <c r="IN57" s="29"/>
      <c r="IO57" s="29"/>
      <c r="IP57" s="29"/>
      <c r="IQ57" s="29"/>
      <c r="IR57" s="29"/>
      <c r="IS57" s="29"/>
    </row>
    <row r="58" spans="1:253" s="428" customFormat="1" ht="15" x14ac:dyDescent="0.25">
      <c r="A58" s="440">
        <v>19010000</v>
      </c>
      <c r="B58" s="441" t="s">
        <v>77</v>
      </c>
      <c r="C58" s="56">
        <f t="shared" si="1"/>
        <v>50500</v>
      </c>
      <c r="D58" s="54">
        <f>SUM(D59:D61)</f>
        <v>0</v>
      </c>
      <c r="E58" s="54">
        <f>SUM(E59:E61)</f>
        <v>50500</v>
      </c>
      <c r="F58" s="54">
        <f>SUM(F59:F61)</f>
        <v>0</v>
      </c>
      <c r="G58" s="427"/>
      <c r="H58" s="48"/>
      <c r="I58" s="40"/>
      <c r="J58" s="427"/>
      <c r="K58" s="427"/>
      <c r="L58" s="427"/>
      <c r="IK58" s="427"/>
      <c r="IL58" s="427"/>
      <c r="IM58" s="427"/>
      <c r="IN58" s="427"/>
      <c r="IO58" s="427"/>
      <c r="IP58" s="427"/>
      <c r="IQ58" s="427"/>
      <c r="IR58" s="427"/>
      <c r="IS58" s="427"/>
    </row>
    <row r="59" spans="1:253" s="10" customFormat="1" ht="45" x14ac:dyDescent="0.25">
      <c r="A59" s="38">
        <v>19010100</v>
      </c>
      <c r="B59" s="37" t="s">
        <v>334</v>
      </c>
      <c r="C59" s="57">
        <f t="shared" si="1"/>
        <v>36000</v>
      </c>
      <c r="D59" s="53"/>
      <c r="E59" s="53">
        <v>36000</v>
      </c>
      <c r="F59" s="53"/>
      <c r="G59" s="9"/>
      <c r="H59" s="23"/>
      <c r="I59" s="24"/>
      <c r="J59" s="9"/>
      <c r="K59" s="9"/>
      <c r="L59" s="9"/>
      <c r="IK59" s="9"/>
      <c r="IL59" s="9"/>
      <c r="IM59" s="9"/>
      <c r="IN59" s="9"/>
      <c r="IO59" s="9"/>
      <c r="IP59" s="9"/>
      <c r="IQ59" s="9"/>
      <c r="IR59" s="9"/>
      <c r="IS59" s="9"/>
    </row>
    <row r="60" spans="1:253" s="10" customFormat="1" ht="21" customHeight="1" x14ac:dyDescent="0.25">
      <c r="A60" s="38">
        <v>19010200</v>
      </c>
      <c r="B60" s="164" t="s">
        <v>78</v>
      </c>
      <c r="C60" s="57">
        <f t="shared" si="1"/>
        <v>10000</v>
      </c>
      <c r="D60" s="53"/>
      <c r="E60" s="53">
        <v>10000</v>
      </c>
      <c r="F60" s="53"/>
      <c r="G60" s="9"/>
      <c r="H60" s="23"/>
      <c r="I60" s="24"/>
      <c r="J60" s="9"/>
      <c r="K60" s="9"/>
      <c r="L60" s="9"/>
      <c r="IK60" s="9"/>
      <c r="IL60" s="9"/>
      <c r="IM60" s="9"/>
      <c r="IN60" s="9"/>
      <c r="IO60" s="9"/>
      <c r="IP60" s="9"/>
      <c r="IQ60" s="9"/>
      <c r="IR60" s="9"/>
      <c r="IS60" s="9"/>
    </row>
    <row r="61" spans="1:253" s="10" customFormat="1" ht="34.5" customHeight="1" x14ac:dyDescent="0.25">
      <c r="A61" s="38">
        <v>19010300</v>
      </c>
      <c r="B61" s="164" t="s">
        <v>79</v>
      </c>
      <c r="C61" s="57">
        <f t="shared" si="1"/>
        <v>4500</v>
      </c>
      <c r="D61" s="53"/>
      <c r="E61" s="53">
        <v>4500</v>
      </c>
      <c r="F61" s="53"/>
      <c r="G61" s="9"/>
      <c r="H61" s="23"/>
      <c r="I61" s="24"/>
      <c r="J61" s="9"/>
      <c r="K61" s="9"/>
      <c r="L61" s="9"/>
      <c r="IK61" s="9"/>
      <c r="IL61" s="9"/>
      <c r="IM61" s="9"/>
      <c r="IN61" s="9"/>
      <c r="IO61" s="9"/>
      <c r="IP61" s="9"/>
      <c r="IQ61" s="9"/>
      <c r="IR61" s="9"/>
      <c r="IS61" s="9"/>
    </row>
    <row r="62" spans="1:253" s="59" customFormat="1" ht="14.25" x14ac:dyDescent="0.2">
      <c r="A62" s="236">
        <v>20000000</v>
      </c>
      <c r="B62" s="237" t="s">
        <v>11</v>
      </c>
      <c r="C62" s="238">
        <f t="shared" si="1"/>
        <v>3648200</v>
      </c>
      <c r="D62" s="235">
        <f>SUM(D63+D70+D82+D86)</f>
        <v>768700</v>
      </c>
      <c r="E62" s="235">
        <f>SUM(E63+E70+E82+E86)</f>
        <v>2879500</v>
      </c>
      <c r="F62" s="235">
        <f>SUM(F63+F70+F82+F86)</f>
        <v>0</v>
      </c>
      <c r="G62" s="58"/>
      <c r="H62" s="42"/>
      <c r="I62" s="43"/>
      <c r="J62" s="58"/>
      <c r="K62" s="58"/>
      <c r="L62" s="58"/>
      <c r="IK62" s="58"/>
      <c r="IL62" s="58"/>
      <c r="IM62" s="58"/>
      <c r="IN62" s="58"/>
      <c r="IO62" s="58"/>
      <c r="IP62" s="58"/>
      <c r="IQ62" s="58"/>
      <c r="IR62" s="58"/>
      <c r="IS62" s="58"/>
    </row>
    <row r="63" spans="1:253" s="19" customFormat="1" ht="15" x14ac:dyDescent="0.25">
      <c r="A63" s="16">
        <v>21000000</v>
      </c>
      <c r="B63" s="17" t="s">
        <v>12</v>
      </c>
      <c r="C63" s="67">
        <f t="shared" si="1"/>
        <v>52400</v>
      </c>
      <c r="D63" s="51">
        <f>SUM(D64+D66+D67)</f>
        <v>52400</v>
      </c>
      <c r="E63" s="51">
        <f>SUM(E64+E66+E67)</f>
        <v>0</v>
      </c>
      <c r="F63" s="51">
        <f>SUM(F64+F66+F67)</f>
        <v>0</v>
      </c>
      <c r="G63" s="18"/>
      <c r="H63" s="44"/>
      <c r="I63" s="45"/>
      <c r="J63" s="18"/>
      <c r="K63" s="18"/>
      <c r="L63" s="18"/>
      <c r="IK63" s="18"/>
      <c r="IL63" s="18"/>
      <c r="IM63" s="18"/>
      <c r="IN63" s="18"/>
      <c r="IO63" s="18"/>
      <c r="IP63" s="18"/>
      <c r="IQ63" s="18"/>
      <c r="IR63" s="18"/>
      <c r="IS63" s="18"/>
    </row>
    <row r="64" spans="1:253" s="34" customFormat="1" ht="58.5" hidden="1" customHeight="1" x14ac:dyDescent="0.25">
      <c r="A64" s="165">
        <v>21010000</v>
      </c>
      <c r="B64" s="166" t="s">
        <v>196</v>
      </c>
      <c r="C64" s="56">
        <f t="shared" si="1"/>
        <v>0</v>
      </c>
      <c r="D64" s="54">
        <f>D65</f>
        <v>0</v>
      </c>
      <c r="E64" s="54">
        <f>E65</f>
        <v>0</v>
      </c>
      <c r="F64" s="54">
        <f>F65</f>
        <v>0</v>
      </c>
      <c r="G64" s="33"/>
      <c r="H64" s="48"/>
      <c r="I64" s="40"/>
      <c r="J64" s="33"/>
      <c r="K64" s="33"/>
      <c r="L64" s="33"/>
      <c r="IK64" s="33"/>
      <c r="IL64" s="33"/>
      <c r="IM64" s="33"/>
      <c r="IN64" s="33"/>
      <c r="IO64" s="33"/>
      <c r="IP64" s="33"/>
      <c r="IQ64" s="33"/>
      <c r="IR64" s="33"/>
      <c r="IS64" s="33"/>
    </row>
    <row r="65" spans="1:253" s="10" customFormat="1" ht="30" hidden="1" x14ac:dyDescent="0.25">
      <c r="A65" s="167">
        <v>21010300</v>
      </c>
      <c r="B65" s="168" t="s">
        <v>197</v>
      </c>
      <c r="C65" s="57">
        <f t="shared" si="1"/>
        <v>0</v>
      </c>
      <c r="D65" s="169"/>
      <c r="E65" s="53"/>
      <c r="F65" s="53"/>
      <c r="G65" s="9"/>
      <c r="H65" s="23"/>
      <c r="I65" s="24"/>
      <c r="J65" s="9"/>
      <c r="K65" s="9"/>
      <c r="L65" s="9"/>
      <c r="IK65" s="9"/>
      <c r="IL65" s="9"/>
      <c r="IM65" s="9"/>
      <c r="IN65" s="9"/>
      <c r="IO65" s="9"/>
      <c r="IP65" s="9"/>
      <c r="IQ65" s="9"/>
      <c r="IR65" s="9"/>
      <c r="IS65" s="9"/>
    </row>
    <row r="66" spans="1:253" s="10" customFormat="1" ht="15" hidden="1" x14ac:dyDescent="0.25">
      <c r="A66" s="6">
        <v>21050000</v>
      </c>
      <c r="B66" s="8" t="s">
        <v>47</v>
      </c>
      <c r="C66" s="57">
        <f t="shared" si="1"/>
        <v>0</v>
      </c>
      <c r="D66" s="53"/>
      <c r="E66" s="53"/>
      <c r="F66" s="53"/>
      <c r="G66" s="9"/>
      <c r="H66" s="23"/>
      <c r="I66" s="24"/>
      <c r="J66" s="9"/>
      <c r="K66" s="9"/>
      <c r="L66" s="9"/>
      <c r="IK66" s="9"/>
      <c r="IL66" s="9"/>
      <c r="IM66" s="9"/>
      <c r="IN66" s="9"/>
      <c r="IO66" s="9"/>
      <c r="IP66" s="9"/>
      <c r="IQ66" s="9"/>
      <c r="IR66" s="9"/>
      <c r="IS66" s="9"/>
    </row>
    <row r="67" spans="1:253" s="34" customFormat="1" ht="15" x14ac:dyDescent="0.25">
      <c r="A67" s="20">
        <v>21080000</v>
      </c>
      <c r="B67" s="21" t="s">
        <v>48</v>
      </c>
      <c r="C67" s="68">
        <f t="shared" si="1"/>
        <v>52400</v>
      </c>
      <c r="D67" s="54">
        <f>D68+D69</f>
        <v>52400</v>
      </c>
      <c r="E67" s="54">
        <f>SUM(E68)</f>
        <v>0</v>
      </c>
      <c r="F67" s="54">
        <f>SUM(F68)</f>
        <v>0</v>
      </c>
      <c r="G67" s="33"/>
      <c r="H67" s="48"/>
      <c r="I67" s="40"/>
      <c r="J67" s="33"/>
      <c r="K67" s="33"/>
      <c r="L67" s="33"/>
      <c r="IK67" s="33"/>
      <c r="IL67" s="33"/>
      <c r="IM67" s="33"/>
      <c r="IN67" s="33"/>
      <c r="IO67" s="33"/>
      <c r="IP67" s="33"/>
      <c r="IQ67" s="33"/>
      <c r="IR67" s="33"/>
      <c r="IS67" s="33"/>
    </row>
    <row r="68" spans="1:253" s="10" customFormat="1" ht="15" x14ac:dyDescent="0.25">
      <c r="A68" s="6">
        <v>21081100</v>
      </c>
      <c r="B68" s="8" t="s">
        <v>49</v>
      </c>
      <c r="C68" s="57">
        <f t="shared" si="1"/>
        <v>2400</v>
      </c>
      <c r="D68" s="53">
        <v>2400</v>
      </c>
      <c r="E68" s="53"/>
      <c r="F68" s="53"/>
      <c r="G68" s="9"/>
      <c r="H68" s="23"/>
      <c r="I68" s="24"/>
      <c r="J68" s="9"/>
      <c r="K68" s="9"/>
      <c r="L68" s="9"/>
      <c r="IK68" s="9"/>
      <c r="IL68" s="9"/>
      <c r="IM68" s="9"/>
      <c r="IN68" s="9"/>
      <c r="IO68" s="9"/>
      <c r="IP68" s="9"/>
      <c r="IQ68" s="9"/>
      <c r="IR68" s="9"/>
      <c r="IS68" s="9"/>
    </row>
    <row r="69" spans="1:253" s="10" customFormat="1" ht="36" customHeight="1" x14ac:dyDescent="0.25">
      <c r="A69" s="6">
        <v>21081500</v>
      </c>
      <c r="B69" s="8" t="s">
        <v>321</v>
      </c>
      <c r="C69" s="57">
        <f t="shared" si="1"/>
        <v>50000</v>
      </c>
      <c r="D69" s="53">
        <v>50000</v>
      </c>
      <c r="E69" s="53"/>
      <c r="F69" s="53"/>
      <c r="G69" s="9"/>
      <c r="H69" s="23"/>
      <c r="I69" s="24"/>
      <c r="J69" s="9"/>
      <c r="K69" s="9"/>
      <c r="L69" s="9"/>
      <c r="IK69" s="9"/>
      <c r="IL69" s="9"/>
      <c r="IM69" s="9"/>
      <c r="IN69" s="9"/>
      <c r="IO69" s="9"/>
      <c r="IP69" s="9"/>
      <c r="IQ69" s="9"/>
      <c r="IR69" s="9"/>
      <c r="IS69" s="9"/>
    </row>
    <row r="70" spans="1:253" s="19" customFormat="1" ht="30" x14ac:dyDescent="0.25">
      <c r="A70" s="16">
        <v>22000000</v>
      </c>
      <c r="B70" s="17" t="s">
        <v>13</v>
      </c>
      <c r="C70" s="65">
        <f t="shared" si="1"/>
        <v>716300</v>
      </c>
      <c r="D70" s="51">
        <f>SUM(D71+D75+D77+D80)</f>
        <v>716300</v>
      </c>
      <c r="E70" s="51">
        <f>SUM(E71+E75+E77+E80)</f>
        <v>0</v>
      </c>
      <c r="F70" s="51">
        <f>SUM(F71+F75+F77+F80)</f>
        <v>0</v>
      </c>
      <c r="G70" s="18"/>
      <c r="H70" s="18"/>
      <c r="I70" s="18"/>
      <c r="J70" s="18"/>
      <c r="K70" s="18"/>
      <c r="L70" s="18"/>
      <c r="IK70" s="18"/>
      <c r="IL70" s="18"/>
      <c r="IM70" s="18"/>
      <c r="IN70" s="18"/>
      <c r="IO70" s="18"/>
      <c r="IP70" s="18"/>
      <c r="IQ70" s="18"/>
      <c r="IR70" s="18"/>
      <c r="IS70" s="18"/>
    </row>
    <row r="71" spans="1:253" s="34" customFormat="1" ht="15" x14ac:dyDescent="0.25">
      <c r="A71" s="20">
        <v>22010000</v>
      </c>
      <c r="B71" s="21" t="s">
        <v>50</v>
      </c>
      <c r="C71" s="56">
        <f t="shared" si="1"/>
        <v>184000</v>
      </c>
      <c r="D71" s="54">
        <f>SUM(D72:D74)</f>
        <v>184000</v>
      </c>
      <c r="E71" s="54">
        <f>SUM(E72:E74)</f>
        <v>0</v>
      </c>
      <c r="F71" s="54">
        <f>SUM(F72:F74)</f>
        <v>0</v>
      </c>
      <c r="G71" s="33"/>
      <c r="H71" s="33"/>
      <c r="I71" s="33"/>
      <c r="J71" s="33"/>
      <c r="K71" s="33"/>
      <c r="L71" s="33"/>
      <c r="IK71" s="33"/>
      <c r="IL71" s="33"/>
      <c r="IM71" s="33"/>
      <c r="IN71" s="33"/>
      <c r="IO71" s="33"/>
      <c r="IP71" s="33"/>
      <c r="IQ71" s="33"/>
      <c r="IR71" s="33"/>
      <c r="IS71" s="33"/>
    </row>
    <row r="72" spans="1:253" s="10" customFormat="1" ht="30" x14ac:dyDescent="0.25">
      <c r="A72" s="6">
        <v>22010300</v>
      </c>
      <c r="B72" s="8" t="s">
        <v>51</v>
      </c>
      <c r="C72" s="55">
        <f t="shared" si="1"/>
        <v>25000</v>
      </c>
      <c r="D72" s="53">
        <v>25000</v>
      </c>
      <c r="E72" s="53"/>
      <c r="F72" s="53"/>
      <c r="G72" s="9"/>
      <c r="H72" s="9"/>
      <c r="I72" s="9"/>
      <c r="J72" s="9"/>
      <c r="K72" s="9"/>
      <c r="L72" s="9"/>
      <c r="IK72" s="9"/>
      <c r="IL72" s="9"/>
      <c r="IM72" s="9"/>
      <c r="IN72" s="9"/>
      <c r="IO72" s="9"/>
      <c r="IP72" s="9"/>
      <c r="IQ72" s="9"/>
      <c r="IR72" s="9"/>
      <c r="IS72" s="9"/>
    </row>
    <row r="73" spans="1:253" s="10" customFormat="1" ht="15" x14ac:dyDescent="0.25">
      <c r="A73" s="6">
        <v>22012500</v>
      </c>
      <c r="B73" s="8" t="s">
        <v>52</v>
      </c>
      <c r="C73" s="55">
        <f t="shared" si="1"/>
        <v>24000</v>
      </c>
      <c r="D73" s="53">
        <v>24000</v>
      </c>
      <c r="E73" s="53"/>
      <c r="F73" s="53"/>
      <c r="G73" s="9"/>
      <c r="H73" s="9"/>
      <c r="I73" s="9"/>
      <c r="J73" s="9"/>
      <c r="K73" s="9"/>
      <c r="L73" s="9"/>
      <c r="IK73" s="9"/>
      <c r="IL73" s="9"/>
      <c r="IM73" s="9"/>
      <c r="IN73" s="9"/>
      <c r="IO73" s="9"/>
      <c r="IP73" s="9"/>
      <c r="IQ73" s="9"/>
      <c r="IR73" s="9"/>
      <c r="IS73" s="9"/>
    </row>
    <row r="74" spans="1:253" s="10" customFormat="1" ht="30" x14ac:dyDescent="0.25">
      <c r="A74" s="6">
        <v>22012600</v>
      </c>
      <c r="B74" s="8" t="s">
        <v>53</v>
      </c>
      <c r="C74" s="55">
        <f t="shared" si="1"/>
        <v>135000</v>
      </c>
      <c r="D74" s="53">
        <v>135000</v>
      </c>
      <c r="E74" s="53"/>
      <c r="F74" s="53"/>
      <c r="G74" s="9"/>
      <c r="H74" s="9"/>
      <c r="I74" s="9"/>
      <c r="J74" s="9"/>
      <c r="K74" s="9"/>
      <c r="L74" s="9"/>
      <c r="IK74" s="9"/>
      <c r="IL74" s="9"/>
      <c r="IM74" s="9"/>
      <c r="IN74" s="9"/>
      <c r="IO74" s="9"/>
      <c r="IP74" s="9"/>
      <c r="IQ74" s="9"/>
      <c r="IR74" s="9"/>
      <c r="IS74" s="9"/>
    </row>
    <row r="75" spans="1:253" s="34" customFormat="1" ht="30" x14ac:dyDescent="0.25">
      <c r="A75" s="79">
        <v>22080000</v>
      </c>
      <c r="B75" s="22" t="s">
        <v>54</v>
      </c>
      <c r="C75" s="56">
        <f t="shared" si="1"/>
        <v>500000</v>
      </c>
      <c r="D75" s="54">
        <f>SUM(D76)</f>
        <v>500000</v>
      </c>
      <c r="E75" s="54">
        <f>SUM(E76)</f>
        <v>0</v>
      </c>
      <c r="F75" s="54">
        <f>SUM(F76)</f>
        <v>0</v>
      </c>
      <c r="G75" s="33"/>
      <c r="H75" s="33"/>
      <c r="I75" s="33"/>
      <c r="J75" s="33"/>
      <c r="K75" s="33"/>
      <c r="L75" s="33"/>
      <c r="IK75" s="33"/>
      <c r="IL75" s="33"/>
      <c r="IM75" s="33"/>
      <c r="IN75" s="33"/>
      <c r="IO75" s="33"/>
      <c r="IP75" s="33"/>
      <c r="IQ75" s="33"/>
      <c r="IR75" s="33"/>
      <c r="IS75" s="33"/>
    </row>
    <row r="76" spans="1:253" s="10" customFormat="1" ht="30" x14ac:dyDescent="0.25">
      <c r="A76" s="80">
        <v>22080400</v>
      </c>
      <c r="B76" s="66" t="s">
        <v>55</v>
      </c>
      <c r="C76" s="55">
        <f t="shared" si="1"/>
        <v>500000</v>
      </c>
      <c r="D76" s="169">
        <v>500000</v>
      </c>
      <c r="E76" s="53"/>
      <c r="F76" s="53"/>
      <c r="G76" s="9"/>
      <c r="H76" s="9"/>
      <c r="I76" s="9"/>
      <c r="J76" s="9"/>
      <c r="K76" s="9"/>
      <c r="L76" s="9"/>
      <c r="IK76" s="9"/>
      <c r="IL76" s="9"/>
      <c r="IM76" s="9"/>
      <c r="IN76" s="9"/>
      <c r="IO76" s="9"/>
      <c r="IP76" s="9"/>
      <c r="IQ76" s="9"/>
      <c r="IR76" s="9"/>
      <c r="IS76" s="9"/>
    </row>
    <row r="77" spans="1:253" s="34" customFormat="1" ht="15" x14ac:dyDescent="0.25">
      <c r="A77" s="81">
        <v>22090000</v>
      </c>
      <c r="B77" s="28" t="s">
        <v>56</v>
      </c>
      <c r="C77" s="56">
        <f t="shared" si="1"/>
        <v>32300</v>
      </c>
      <c r="D77" s="54">
        <f>SUM(D78:D79)</f>
        <v>32300</v>
      </c>
      <c r="E77" s="54">
        <f>SUM(E78:E79)</f>
        <v>0</v>
      </c>
      <c r="F77" s="54">
        <f>SUM(F78:F79)</f>
        <v>0</v>
      </c>
      <c r="G77" s="33"/>
      <c r="H77" s="33"/>
      <c r="I77" s="33"/>
      <c r="J77" s="33"/>
      <c r="K77" s="33"/>
      <c r="L77" s="33"/>
      <c r="IK77" s="33"/>
      <c r="IL77" s="33"/>
      <c r="IM77" s="33"/>
      <c r="IN77" s="33"/>
      <c r="IO77" s="33"/>
      <c r="IP77" s="33"/>
      <c r="IQ77" s="33"/>
      <c r="IR77" s="33"/>
      <c r="IS77" s="33"/>
    </row>
    <row r="78" spans="1:253" s="10" customFormat="1" ht="33" customHeight="1" x14ac:dyDescent="0.25">
      <c r="A78" s="82">
        <v>22090100</v>
      </c>
      <c r="B78" s="26" t="s">
        <v>57</v>
      </c>
      <c r="C78" s="55">
        <f t="shared" si="1"/>
        <v>32000</v>
      </c>
      <c r="D78" s="53">
        <v>32000</v>
      </c>
      <c r="E78" s="53"/>
      <c r="F78" s="53"/>
      <c r="G78" s="9"/>
      <c r="H78" s="9"/>
      <c r="I78" s="9"/>
      <c r="J78" s="9"/>
      <c r="K78" s="9"/>
      <c r="L78" s="9"/>
      <c r="IK78" s="9"/>
      <c r="IL78" s="9"/>
      <c r="IM78" s="9"/>
      <c r="IN78" s="9"/>
      <c r="IO78" s="9"/>
      <c r="IP78" s="9"/>
      <c r="IQ78" s="9"/>
      <c r="IR78" s="9"/>
      <c r="IS78" s="9"/>
    </row>
    <row r="79" spans="1:253" s="10" customFormat="1" ht="30" x14ac:dyDescent="0.25">
      <c r="A79" s="82">
        <v>22090400</v>
      </c>
      <c r="B79" s="26" t="s">
        <v>58</v>
      </c>
      <c r="C79" s="55">
        <f t="shared" si="1"/>
        <v>300</v>
      </c>
      <c r="D79" s="53">
        <v>300</v>
      </c>
      <c r="E79" s="53"/>
      <c r="F79" s="53"/>
      <c r="G79" s="9"/>
      <c r="H79" s="9"/>
      <c r="I79" s="9"/>
      <c r="J79" s="9"/>
      <c r="K79" s="9"/>
      <c r="L79" s="9"/>
      <c r="IK79" s="9"/>
      <c r="IL79" s="9"/>
      <c r="IM79" s="9"/>
      <c r="IN79" s="9"/>
      <c r="IO79" s="9"/>
      <c r="IP79" s="9"/>
      <c r="IQ79" s="9"/>
      <c r="IR79" s="9"/>
      <c r="IS79" s="9"/>
    </row>
    <row r="80" spans="1:253" s="10" customFormat="1" ht="15" hidden="1" x14ac:dyDescent="0.25">
      <c r="A80" s="81">
        <v>22100000</v>
      </c>
      <c r="B80" s="28" t="s">
        <v>198</v>
      </c>
      <c r="C80" s="56">
        <f t="shared" ref="C80:C105" si="2">SUM(D80+E80)</f>
        <v>0</v>
      </c>
      <c r="D80" s="53">
        <f>SUBTOTAL(9,D81)</f>
        <v>0</v>
      </c>
      <c r="E80" s="53">
        <f>SUBTOTAL(9,E81)</f>
        <v>0</v>
      </c>
      <c r="F80" s="53">
        <f>SUBTOTAL(9,F81)</f>
        <v>0</v>
      </c>
      <c r="G80" s="9"/>
      <c r="H80" s="9"/>
      <c r="I80" s="9"/>
      <c r="J80" s="9"/>
      <c r="K80" s="9"/>
      <c r="L80" s="9"/>
      <c r="IK80" s="9"/>
      <c r="IL80" s="9"/>
      <c r="IM80" s="9"/>
      <c r="IN80" s="9"/>
      <c r="IO80" s="9"/>
      <c r="IP80" s="9"/>
      <c r="IQ80" s="9"/>
      <c r="IR80" s="9"/>
      <c r="IS80" s="9"/>
    </row>
    <row r="81" spans="1:253" s="10" customFormat="1" ht="60" hidden="1" x14ac:dyDescent="0.25">
      <c r="A81" s="81">
        <v>22130000</v>
      </c>
      <c r="B81" s="26" t="s">
        <v>199</v>
      </c>
      <c r="C81" s="55">
        <f t="shared" si="2"/>
        <v>0</v>
      </c>
      <c r="D81" s="53"/>
      <c r="E81" s="53"/>
      <c r="F81" s="53"/>
      <c r="G81" s="9"/>
      <c r="H81" s="9"/>
      <c r="I81" s="9"/>
      <c r="J81" s="9"/>
      <c r="K81" s="9"/>
      <c r="L81" s="9"/>
      <c r="IK81" s="9"/>
      <c r="IL81" s="9"/>
      <c r="IM81" s="9"/>
      <c r="IN81" s="9"/>
      <c r="IO81" s="9"/>
      <c r="IP81" s="9"/>
      <c r="IQ81" s="9"/>
      <c r="IR81" s="9"/>
      <c r="IS81" s="9"/>
    </row>
    <row r="82" spans="1:253" s="10" customFormat="1" ht="15" x14ac:dyDescent="0.25">
      <c r="A82" s="83">
        <v>24000000</v>
      </c>
      <c r="B82" s="32" t="s">
        <v>200</v>
      </c>
      <c r="C82" s="65">
        <f t="shared" si="2"/>
        <v>29500</v>
      </c>
      <c r="D82" s="51">
        <f>D83+D85</f>
        <v>0</v>
      </c>
      <c r="E82" s="51">
        <f>E83+E85</f>
        <v>29500</v>
      </c>
      <c r="F82" s="51">
        <f>F83+F85</f>
        <v>0</v>
      </c>
      <c r="G82" s="9"/>
      <c r="H82" s="9"/>
      <c r="I82" s="9"/>
      <c r="J82" s="9"/>
      <c r="K82" s="9"/>
      <c r="L82" s="9"/>
      <c r="IK82" s="9"/>
      <c r="IL82" s="9"/>
      <c r="IM82" s="9"/>
      <c r="IN82" s="9"/>
      <c r="IO82" s="9"/>
      <c r="IP82" s="9"/>
      <c r="IQ82" s="9"/>
      <c r="IR82" s="9"/>
      <c r="IS82" s="9"/>
    </row>
    <row r="83" spans="1:253" s="428" customFormat="1" ht="15" x14ac:dyDescent="0.25">
      <c r="A83" s="81">
        <v>24060000</v>
      </c>
      <c r="B83" s="28" t="s">
        <v>48</v>
      </c>
      <c r="C83" s="56">
        <f t="shared" si="2"/>
        <v>29500</v>
      </c>
      <c r="D83" s="54">
        <f>D84</f>
        <v>0</v>
      </c>
      <c r="E83" s="54">
        <f>E84</f>
        <v>29500</v>
      </c>
      <c r="F83" s="54">
        <f>F84</f>
        <v>0</v>
      </c>
      <c r="G83" s="427"/>
      <c r="H83" s="427"/>
      <c r="I83" s="427"/>
      <c r="J83" s="427"/>
      <c r="K83" s="427"/>
      <c r="L83" s="427"/>
      <c r="IK83" s="427"/>
      <c r="IL83" s="427"/>
      <c r="IM83" s="427"/>
      <c r="IN83" s="427"/>
      <c r="IO83" s="427"/>
      <c r="IP83" s="427"/>
      <c r="IQ83" s="427"/>
      <c r="IR83" s="427"/>
      <c r="IS83" s="427"/>
    </row>
    <row r="84" spans="1:253" s="10" customFormat="1" ht="45" x14ac:dyDescent="0.25">
      <c r="A84" s="82">
        <v>240621000</v>
      </c>
      <c r="B84" s="26" t="s">
        <v>324</v>
      </c>
      <c r="C84" s="55">
        <f t="shared" si="2"/>
        <v>29500</v>
      </c>
      <c r="D84" s="53"/>
      <c r="E84" s="53">
        <v>29500</v>
      </c>
      <c r="F84" s="51"/>
      <c r="G84" s="9"/>
      <c r="H84" s="9"/>
      <c r="I84" s="9"/>
      <c r="J84" s="9"/>
      <c r="K84" s="9"/>
      <c r="L84" s="9"/>
      <c r="IK84" s="9"/>
      <c r="IL84" s="9"/>
      <c r="IM84" s="9"/>
      <c r="IN84" s="9"/>
      <c r="IO84" s="9"/>
      <c r="IP84" s="9"/>
      <c r="IQ84" s="9"/>
      <c r="IR84" s="9"/>
      <c r="IS84" s="9"/>
    </row>
    <row r="85" spans="1:253" s="428" customFormat="1" ht="30" hidden="1" x14ac:dyDescent="0.25">
      <c r="A85" s="81">
        <v>24170000</v>
      </c>
      <c r="B85" s="28" t="s">
        <v>201</v>
      </c>
      <c r="C85" s="68">
        <f t="shared" si="2"/>
        <v>0</v>
      </c>
      <c r="D85" s="54"/>
      <c r="E85" s="54"/>
      <c r="F85" s="54"/>
      <c r="G85" s="427"/>
      <c r="H85" s="427"/>
      <c r="I85" s="427"/>
      <c r="J85" s="427"/>
      <c r="K85" s="427"/>
      <c r="L85" s="427"/>
      <c r="IK85" s="427"/>
      <c r="IL85" s="427"/>
      <c r="IM85" s="427"/>
      <c r="IN85" s="427"/>
      <c r="IO85" s="427"/>
      <c r="IP85" s="427"/>
      <c r="IQ85" s="427"/>
      <c r="IR85" s="427"/>
      <c r="IS85" s="427"/>
    </row>
    <row r="86" spans="1:253" s="19" customFormat="1" ht="15" x14ac:dyDescent="0.25">
      <c r="A86" s="83">
        <v>25000000</v>
      </c>
      <c r="B86" s="32" t="s">
        <v>66</v>
      </c>
      <c r="C86" s="65">
        <f t="shared" si="2"/>
        <v>2850000</v>
      </c>
      <c r="D86" s="51">
        <f>SUM(D87+D91)</f>
        <v>0</v>
      </c>
      <c r="E86" s="51">
        <f>SUM(E87+E91)</f>
        <v>2850000</v>
      </c>
      <c r="F86" s="51">
        <f>SUM(F87+F91)</f>
        <v>0</v>
      </c>
      <c r="G86" s="18"/>
      <c r="H86" s="18"/>
      <c r="I86" s="18"/>
      <c r="J86" s="18"/>
      <c r="K86" s="18"/>
      <c r="L86" s="18"/>
      <c r="IK86" s="18"/>
      <c r="IL86" s="18"/>
      <c r="IM86" s="18"/>
      <c r="IN86" s="18"/>
      <c r="IO86" s="18"/>
      <c r="IP86" s="18"/>
      <c r="IQ86" s="18"/>
      <c r="IR86" s="18"/>
      <c r="IS86" s="18"/>
    </row>
    <row r="87" spans="1:253" s="34" customFormat="1" ht="30" x14ac:dyDescent="0.25">
      <c r="A87" s="81">
        <v>25010000</v>
      </c>
      <c r="B87" s="28" t="s">
        <v>67</v>
      </c>
      <c r="C87" s="56">
        <f t="shared" si="2"/>
        <v>2330600</v>
      </c>
      <c r="D87" s="54">
        <f>SUM(D88:D90)</f>
        <v>0</v>
      </c>
      <c r="E87" s="54">
        <f>SUM(E88:E90)</f>
        <v>2330600</v>
      </c>
      <c r="F87" s="54">
        <f>SUM(F88:F90)</f>
        <v>0</v>
      </c>
      <c r="G87" s="33"/>
      <c r="H87" s="33"/>
      <c r="I87" s="33"/>
      <c r="J87" s="33"/>
      <c r="K87" s="33"/>
      <c r="L87" s="33"/>
      <c r="IK87" s="33"/>
      <c r="IL87" s="33"/>
      <c r="IM87" s="33"/>
      <c r="IN87" s="33"/>
      <c r="IO87" s="33"/>
      <c r="IP87" s="33"/>
      <c r="IQ87" s="33"/>
      <c r="IR87" s="33"/>
      <c r="IS87" s="33"/>
    </row>
    <row r="88" spans="1:253" s="10" customFormat="1" ht="30" x14ac:dyDescent="0.25">
      <c r="A88" s="82">
        <v>25010100</v>
      </c>
      <c r="B88" s="26" t="s">
        <v>68</v>
      </c>
      <c r="C88" s="55">
        <f t="shared" si="2"/>
        <v>1841300</v>
      </c>
      <c r="D88" s="53"/>
      <c r="E88" s="53">
        <v>1841300</v>
      </c>
      <c r="F88" s="53"/>
      <c r="G88" s="9"/>
      <c r="H88" s="9"/>
      <c r="I88" s="9"/>
      <c r="J88" s="9"/>
      <c r="K88" s="9"/>
      <c r="L88" s="9"/>
      <c r="IK88" s="9"/>
      <c r="IL88" s="9"/>
      <c r="IM88" s="9"/>
      <c r="IN88" s="9"/>
      <c r="IO88" s="9"/>
      <c r="IP88" s="9"/>
      <c r="IQ88" s="9"/>
      <c r="IR88" s="9"/>
      <c r="IS88" s="9"/>
    </row>
    <row r="89" spans="1:253" s="10" customFormat="1" ht="18.75" customHeight="1" x14ac:dyDescent="0.25">
      <c r="A89" s="82">
        <v>25010200</v>
      </c>
      <c r="B89" s="26" t="s">
        <v>69</v>
      </c>
      <c r="C89" s="55">
        <f t="shared" si="2"/>
        <v>451000</v>
      </c>
      <c r="D89" s="53"/>
      <c r="E89" s="53">
        <v>451000</v>
      </c>
      <c r="F89" s="53"/>
      <c r="G89" s="9"/>
      <c r="H89" s="9"/>
      <c r="I89" s="9"/>
      <c r="J89" s="9"/>
      <c r="K89" s="9"/>
      <c r="L89" s="9"/>
      <c r="IK89" s="9"/>
      <c r="IL89" s="9"/>
      <c r="IM89" s="9"/>
      <c r="IN89" s="9"/>
      <c r="IO89" s="9"/>
      <c r="IP89" s="9"/>
      <c r="IQ89" s="9"/>
      <c r="IR89" s="9"/>
      <c r="IS89" s="9"/>
    </row>
    <row r="90" spans="1:253" s="10" customFormat="1" ht="30" x14ac:dyDescent="0.25">
      <c r="A90" s="82">
        <v>25010300</v>
      </c>
      <c r="B90" s="26" t="s">
        <v>392</v>
      </c>
      <c r="C90" s="55">
        <f t="shared" si="2"/>
        <v>38300</v>
      </c>
      <c r="D90" s="55"/>
      <c r="E90" s="55">
        <v>38300</v>
      </c>
      <c r="F90" s="55"/>
      <c r="G90" s="9"/>
      <c r="H90" s="9"/>
      <c r="I90" s="9"/>
      <c r="J90" s="9"/>
      <c r="K90" s="9"/>
      <c r="L90" s="9"/>
      <c r="IK90" s="9"/>
      <c r="IL90" s="9"/>
      <c r="IM90" s="9"/>
      <c r="IN90" s="9"/>
      <c r="IO90" s="9"/>
      <c r="IP90" s="9"/>
      <c r="IQ90" s="9"/>
      <c r="IR90" s="9"/>
      <c r="IS90" s="9"/>
    </row>
    <row r="91" spans="1:253" s="34" customFormat="1" ht="15" x14ac:dyDescent="0.25">
      <c r="A91" s="81">
        <v>25020000</v>
      </c>
      <c r="B91" s="28" t="s">
        <v>70</v>
      </c>
      <c r="C91" s="56">
        <f t="shared" si="2"/>
        <v>519400</v>
      </c>
      <c r="D91" s="56">
        <f>SUM(D92:D93)</f>
        <v>0</v>
      </c>
      <c r="E91" s="56">
        <f>SUM(E92:E93)</f>
        <v>519400</v>
      </c>
      <c r="F91" s="56">
        <f>SUM(F92:F93)</f>
        <v>0</v>
      </c>
      <c r="G91" s="33"/>
      <c r="H91" s="33"/>
      <c r="I91" s="33"/>
      <c r="J91" s="33"/>
      <c r="K91" s="33"/>
      <c r="L91" s="33"/>
      <c r="IK91" s="33"/>
      <c r="IL91" s="33"/>
      <c r="IM91" s="33"/>
      <c r="IN91" s="33"/>
      <c r="IO91" s="33"/>
      <c r="IP91" s="33"/>
      <c r="IQ91" s="33"/>
      <c r="IR91" s="33"/>
      <c r="IS91" s="33"/>
    </row>
    <row r="92" spans="1:253" s="10" customFormat="1" ht="15" x14ac:dyDescent="0.25">
      <c r="A92" s="82">
        <v>25020100</v>
      </c>
      <c r="B92" s="26" t="s">
        <v>71</v>
      </c>
      <c r="C92" s="55">
        <f t="shared" si="2"/>
        <v>358000</v>
      </c>
      <c r="D92" s="55"/>
      <c r="E92" s="55">
        <v>358000</v>
      </c>
      <c r="F92" s="55"/>
      <c r="G92" s="9"/>
      <c r="H92" s="9"/>
      <c r="I92" s="9"/>
      <c r="J92" s="9"/>
      <c r="K92" s="9"/>
      <c r="L92" s="9"/>
      <c r="IK92" s="9"/>
      <c r="IL92" s="9"/>
      <c r="IM92" s="9"/>
      <c r="IN92" s="9"/>
      <c r="IO92" s="9"/>
      <c r="IP92" s="9"/>
      <c r="IQ92" s="9"/>
      <c r="IR92" s="9"/>
      <c r="IS92" s="9"/>
    </row>
    <row r="93" spans="1:253" s="10" customFormat="1" ht="60" x14ac:dyDescent="0.25">
      <c r="A93" s="82">
        <v>25020200</v>
      </c>
      <c r="B93" s="26" t="s">
        <v>405</v>
      </c>
      <c r="C93" s="55">
        <f t="shared" si="2"/>
        <v>161400</v>
      </c>
      <c r="D93" s="55"/>
      <c r="E93" s="55">
        <v>161400</v>
      </c>
      <c r="F93" s="55"/>
      <c r="G93" s="9"/>
      <c r="H93" s="9"/>
      <c r="I93" s="9"/>
      <c r="J93" s="9"/>
      <c r="K93" s="9"/>
      <c r="L93" s="9"/>
      <c r="IK93" s="9"/>
      <c r="IL93" s="9"/>
      <c r="IM93" s="9"/>
      <c r="IN93" s="9"/>
      <c r="IO93" s="9"/>
      <c r="IP93" s="9"/>
      <c r="IQ93" s="9"/>
      <c r="IR93" s="9"/>
      <c r="IS93" s="9"/>
    </row>
    <row r="94" spans="1:253" s="271" customFormat="1" ht="14.25" x14ac:dyDescent="0.2">
      <c r="A94" s="232">
        <v>30000000</v>
      </c>
      <c r="B94" s="233" t="s">
        <v>59</v>
      </c>
      <c r="C94" s="267">
        <f t="shared" si="2"/>
        <v>500000</v>
      </c>
      <c r="D94" s="235">
        <f>SUM(D97)</f>
        <v>0</v>
      </c>
      <c r="E94" s="235">
        <f>SUM(E97)</f>
        <v>500000</v>
      </c>
      <c r="F94" s="235">
        <f>SUM(F97)</f>
        <v>500000</v>
      </c>
      <c r="G94" s="270"/>
      <c r="H94" s="270"/>
      <c r="I94" s="270"/>
      <c r="J94" s="270"/>
      <c r="K94" s="270"/>
      <c r="L94" s="270"/>
      <c r="IK94" s="270"/>
      <c r="IL94" s="270"/>
      <c r="IM94" s="270"/>
      <c r="IN94" s="270"/>
      <c r="IO94" s="270"/>
      <c r="IP94" s="270"/>
      <c r="IQ94" s="270"/>
      <c r="IR94" s="270"/>
      <c r="IS94" s="270"/>
    </row>
    <row r="95" spans="1:253" s="30" customFormat="1" ht="15" hidden="1" x14ac:dyDescent="0.25">
      <c r="A95" s="31">
        <v>31000000</v>
      </c>
      <c r="B95" s="32" t="s">
        <v>60</v>
      </c>
      <c r="C95" s="65">
        <f t="shared" si="2"/>
        <v>0</v>
      </c>
      <c r="D95" s="51">
        <f>SUM(D96)</f>
        <v>0</v>
      </c>
      <c r="E95" s="51">
        <f>SUM(E96)</f>
        <v>0</v>
      </c>
      <c r="F95" s="51">
        <f>SUM(F96)</f>
        <v>0</v>
      </c>
      <c r="G95" s="29"/>
      <c r="H95" s="29"/>
      <c r="I95" s="29"/>
      <c r="J95" s="29"/>
      <c r="K95" s="29"/>
      <c r="L95" s="29"/>
      <c r="IK95" s="29"/>
      <c r="IL95" s="29"/>
      <c r="IM95" s="29"/>
      <c r="IN95" s="29"/>
      <c r="IO95" s="29"/>
      <c r="IP95" s="29"/>
      <c r="IQ95" s="29"/>
      <c r="IR95" s="29"/>
      <c r="IS95" s="29"/>
    </row>
    <row r="96" spans="1:253" s="30" customFormat="1" ht="30" hidden="1" x14ac:dyDescent="0.25">
      <c r="A96" s="81">
        <v>31030000</v>
      </c>
      <c r="B96" s="28" t="s">
        <v>72</v>
      </c>
      <c r="C96" s="56">
        <f t="shared" si="2"/>
        <v>0</v>
      </c>
      <c r="D96" s="54"/>
      <c r="E96" s="54"/>
      <c r="F96" s="54"/>
      <c r="G96" s="29"/>
      <c r="H96" s="29"/>
      <c r="I96" s="29"/>
      <c r="J96" s="29"/>
      <c r="K96" s="29"/>
      <c r="L96" s="29"/>
      <c r="IK96" s="29"/>
      <c r="IL96" s="29"/>
      <c r="IM96" s="29"/>
      <c r="IN96" s="29"/>
      <c r="IO96" s="29"/>
      <c r="IP96" s="29"/>
      <c r="IQ96" s="29"/>
      <c r="IR96" s="29"/>
      <c r="IS96" s="29"/>
    </row>
    <row r="97" spans="1:253" s="19" customFormat="1" ht="15" x14ac:dyDescent="0.25">
      <c r="A97" s="31">
        <v>33000000</v>
      </c>
      <c r="B97" s="32" t="s">
        <v>202</v>
      </c>
      <c r="C97" s="65">
        <f t="shared" si="2"/>
        <v>500000</v>
      </c>
      <c r="D97" s="51">
        <f>SUM(D98)</f>
        <v>0</v>
      </c>
      <c r="E97" s="51">
        <f>SUM(E98)</f>
        <v>500000</v>
      </c>
      <c r="F97" s="51">
        <f>SUM(F98)</f>
        <v>500000</v>
      </c>
      <c r="G97" s="18"/>
      <c r="H97" s="18"/>
      <c r="I97" s="18"/>
      <c r="J97" s="18"/>
      <c r="K97" s="18"/>
      <c r="L97" s="18"/>
      <c r="IK97" s="18"/>
      <c r="IL97" s="18"/>
      <c r="IM97" s="18"/>
      <c r="IN97" s="18"/>
      <c r="IO97" s="18"/>
      <c r="IP97" s="18"/>
      <c r="IQ97" s="18"/>
      <c r="IR97" s="18"/>
      <c r="IS97" s="18"/>
    </row>
    <row r="98" spans="1:253" s="34" customFormat="1" ht="15" x14ac:dyDescent="0.25">
      <c r="A98" s="27">
        <v>33010000</v>
      </c>
      <c r="B98" s="28" t="s">
        <v>203</v>
      </c>
      <c r="C98" s="56">
        <f t="shared" si="2"/>
        <v>500000</v>
      </c>
      <c r="D98" s="54">
        <f>D99</f>
        <v>0</v>
      </c>
      <c r="E98" s="54">
        <f>E99</f>
        <v>500000</v>
      </c>
      <c r="F98" s="54">
        <f>F99</f>
        <v>500000</v>
      </c>
      <c r="G98" s="33"/>
      <c r="H98" s="33"/>
      <c r="I98" s="33"/>
      <c r="J98" s="33"/>
      <c r="K98" s="33"/>
      <c r="L98" s="33"/>
      <c r="IK98" s="33"/>
      <c r="IL98" s="33"/>
      <c r="IM98" s="33"/>
      <c r="IN98" s="33"/>
      <c r="IO98" s="33"/>
      <c r="IP98" s="33"/>
      <c r="IQ98" s="33"/>
      <c r="IR98" s="33"/>
      <c r="IS98" s="33"/>
    </row>
    <row r="99" spans="1:253" s="10" customFormat="1" ht="43.5" customHeight="1" x14ac:dyDescent="0.25">
      <c r="A99" s="82">
        <v>33010100</v>
      </c>
      <c r="B99" s="26" t="s">
        <v>204</v>
      </c>
      <c r="C99" s="55">
        <f t="shared" si="2"/>
        <v>500000</v>
      </c>
      <c r="D99" s="169"/>
      <c r="E99" s="169">
        <v>500000</v>
      </c>
      <c r="F99" s="53">
        <v>500000</v>
      </c>
      <c r="G99" s="9"/>
      <c r="H99" s="9"/>
      <c r="I99" s="9"/>
      <c r="J99" s="9"/>
      <c r="K99" s="9"/>
      <c r="L99" s="9"/>
      <c r="IK99" s="9"/>
      <c r="IL99" s="9"/>
      <c r="IM99" s="9"/>
      <c r="IN99" s="9"/>
      <c r="IO99" s="9"/>
      <c r="IP99" s="9"/>
      <c r="IQ99" s="9"/>
      <c r="IR99" s="9"/>
      <c r="IS99" s="9"/>
    </row>
    <row r="100" spans="1:253" s="274" customFormat="1" ht="21.75" customHeight="1" x14ac:dyDescent="0.2">
      <c r="A100" s="260"/>
      <c r="B100" s="272" t="s">
        <v>351</v>
      </c>
      <c r="C100" s="64">
        <f t="shared" si="2"/>
        <v>69430000</v>
      </c>
      <c r="D100" s="223">
        <f>D10+D62+D94</f>
        <v>66000000</v>
      </c>
      <c r="E100" s="223">
        <f>E10+E62+E94</f>
        <v>3430000</v>
      </c>
      <c r="F100" s="223">
        <f>F10+F62+F94</f>
        <v>500000</v>
      </c>
      <c r="G100" s="273"/>
      <c r="H100" s="273"/>
      <c r="I100" s="273"/>
      <c r="J100" s="273"/>
      <c r="K100" s="273"/>
      <c r="L100" s="273"/>
      <c r="IK100" s="273"/>
      <c r="IL100" s="273"/>
      <c r="IM100" s="273"/>
      <c r="IN100" s="273"/>
      <c r="IO100" s="273"/>
      <c r="IP100" s="273"/>
      <c r="IQ100" s="273"/>
      <c r="IR100" s="273"/>
      <c r="IS100" s="273"/>
    </row>
    <row r="101" spans="1:253" s="30" customFormat="1" ht="14.25" x14ac:dyDescent="0.2">
      <c r="A101" s="232">
        <v>40000000</v>
      </c>
      <c r="B101" s="233" t="s">
        <v>61</v>
      </c>
      <c r="C101" s="234">
        <f t="shared" si="2"/>
        <v>26307300</v>
      </c>
      <c r="D101" s="235">
        <f>SUM(D102)</f>
        <v>26307300</v>
      </c>
      <c r="E101" s="235"/>
      <c r="F101" s="235"/>
      <c r="G101" s="29"/>
      <c r="H101" s="29"/>
      <c r="I101" s="29"/>
      <c r="J101" s="29"/>
      <c r="K101" s="29"/>
      <c r="L101" s="29"/>
      <c r="IK101" s="29"/>
      <c r="IL101" s="29"/>
      <c r="IM101" s="29"/>
      <c r="IN101" s="29"/>
      <c r="IO101" s="29"/>
      <c r="IP101" s="29"/>
      <c r="IQ101" s="29"/>
      <c r="IR101" s="29"/>
      <c r="IS101" s="29"/>
    </row>
    <row r="102" spans="1:253" s="19" customFormat="1" ht="15" x14ac:dyDescent="0.25">
      <c r="A102" s="83">
        <v>41000000</v>
      </c>
      <c r="B102" s="109" t="s">
        <v>62</v>
      </c>
      <c r="C102" s="171">
        <f t="shared" si="2"/>
        <v>26307300</v>
      </c>
      <c r="D102" s="221">
        <f>D103+D106+D108</f>
        <v>26307300</v>
      </c>
      <c r="E102" s="221"/>
      <c r="F102" s="51"/>
      <c r="G102" s="18"/>
      <c r="H102" s="18"/>
      <c r="I102" s="18"/>
      <c r="J102" s="18"/>
      <c r="K102" s="18"/>
      <c r="L102" s="18"/>
      <c r="IK102" s="18"/>
      <c r="IL102" s="18"/>
      <c r="IM102" s="18"/>
      <c r="IN102" s="18"/>
      <c r="IO102" s="18"/>
      <c r="IP102" s="18"/>
      <c r="IQ102" s="18"/>
      <c r="IR102" s="18"/>
      <c r="IS102" s="18"/>
    </row>
    <row r="103" spans="1:253" s="19" customFormat="1" ht="15" x14ac:dyDescent="0.25">
      <c r="A103" s="83">
        <v>41030000</v>
      </c>
      <c r="B103" s="109" t="s">
        <v>335</v>
      </c>
      <c r="C103" s="171">
        <f t="shared" si="2"/>
        <v>22429600</v>
      </c>
      <c r="D103" s="221">
        <f>D104+D105</f>
        <v>22429600</v>
      </c>
      <c r="E103" s="221"/>
      <c r="F103" s="51"/>
      <c r="G103" s="18"/>
      <c r="H103" s="18"/>
      <c r="I103" s="18"/>
      <c r="J103" s="18"/>
      <c r="K103" s="18"/>
      <c r="L103" s="18"/>
      <c r="IK103" s="18"/>
      <c r="IL103" s="18"/>
      <c r="IM103" s="18"/>
      <c r="IN103" s="18"/>
      <c r="IO103" s="18"/>
      <c r="IP103" s="18"/>
      <c r="IQ103" s="18"/>
      <c r="IR103" s="18"/>
      <c r="IS103" s="18"/>
    </row>
    <row r="104" spans="1:253" s="19" customFormat="1" ht="15" x14ac:dyDescent="0.25">
      <c r="A104" s="82">
        <v>41033900</v>
      </c>
      <c r="B104" s="108" t="s">
        <v>63</v>
      </c>
      <c r="C104" s="172">
        <f t="shared" si="2"/>
        <v>19959400</v>
      </c>
      <c r="D104" s="169">
        <v>19959400</v>
      </c>
      <c r="E104" s="169"/>
      <c r="F104" s="53"/>
      <c r="G104" s="18"/>
      <c r="H104" s="18"/>
      <c r="I104" s="18"/>
      <c r="J104" s="18"/>
      <c r="K104" s="18"/>
      <c r="L104" s="18"/>
      <c r="IK104" s="18"/>
      <c r="IL104" s="18"/>
      <c r="IM104" s="18"/>
      <c r="IN104" s="18"/>
      <c r="IO104" s="18"/>
      <c r="IP104" s="18"/>
      <c r="IQ104" s="18"/>
      <c r="IR104" s="18"/>
      <c r="IS104" s="18"/>
    </row>
    <row r="105" spans="1:253" s="19" customFormat="1" ht="15" x14ac:dyDescent="0.25">
      <c r="A105" s="82">
        <v>41034200</v>
      </c>
      <c r="B105" s="108" t="s">
        <v>64</v>
      </c>
      <c r="C105" s="172">
        <f t="shared" si="2"/>
        <v>2470200</v>
      </c>
      <c r="D105" s="169">
        <v>2470200</v>
      </c>
      <c r="E105" s="169"/>
      <c r="F105" s="53"/>
      <c r="G105" s="18"/>
      <c r="H105" s="18"/>
      <c r="I105" s="18"/>
      <c r="J105" s="18"/>
      <c r="K105" s="18"/>
      <c r="L105" s="18"/>
      <c r="IK105" s="18"/>
      <c r="IL105" s="18"/>
      <c r="IM105" s="18"/>
      <c r="IN105" s="18"/>
      <c r="IO105" s="18"/>
      <c r="IP105" s="18"/>
      <c r="IQ105" s="18"/>
      <c r="IR105" s="18"/>
      <c r="IS105" s="18"/>
    </row>
    <row r="106" spans="1:253" s="111" customFormat="1" ht="15" x14ac:dyDescent="0.25">
      <c r="A106" s="83">
        <v>41040000</v>
      </c>
      <c r="B106" s="109" t="s">
        <v>144</v>
      </c>
      <c r="C106" s="171">
        <f>C107</f>
        <v>3417400</v>
      </c>
      <c r="D106" s="171">
        <f>D107</f>
        <v>3417400</v>
      </c>
      <c r="E106" s="221"/>
      <c r="F106" s="51"/>
      <c r="G106" s="110"/>
      <c r="H106" s="110"/>
      <c r="I106" s="110"/>
      <c r="J106" s="110"/>
      <c r="K106" s="110"/>
      <c r="L106" s="110"/>
      <c r="IK106" s="110"/>
      <c r="IL106" s="110"/>
      <c r="IM106" s="110"/>
      <c r="IN106" s="110"/>
      <c r="IO106" s="110"/>
      <c r="IP106" s="110"/>
      <c r="IQ106" s="110"/>
      <c r="IR106" s="110"/>
      <c r="IS106" s="110"/>
    </row>
    <row r="107" spans="1:253" s="19" customFormat="1" ht="45" x14ac:dyDescent="0.25">
      <c r="A107" s="82">
        <v>41040200</v>
      </c>
      <c r="B107" s="108" t="s">
        <v>143</v>
      </c>
      <c r="C107" s="172">
        <f t="shared" ref="C107:C121" si="3">SUM(D107+E107)</f>
        <v>3417400</v>
      </c>
      <c r="D107" s="169">
        <v>3417400</v>
      </c>
      <c r="E107" s="221"/>
      <c r="F107" s="51"/>
      <c r="G107" s="18"/>
      <c r="H107" s="241"/>
      <c r="I107" s="242"/>
      <c r="J107" s="18"/>
      <c r="K107" s="18"/>
      <c r="L107" s="18"/>
      <c r="IK107" s="18"/>
      <c r="IL107" s="18"/>
      <c r="IM107" s="18"/>
      <c r="IN107" s="18"/>
      <c r="IO107" s="18"/>
      <c r="IP107" s="18"/>
      <c r="IQ107" s="18"/>
      <c r="IR107" s="18"/>
      <c r="IS107" s="18"/>
    </row>
    <row r="108" spans="1:253" s="111" customFormat="1" ht="15" x14ac:dyDescent="0.25">
      <c r="A108" s="83">
        <v>41050000</v>
      </c>
      <c r="B108" s="109" t="s">
        <v>145</v>
      </c>
      <c r="C108" s="171">
        <f t="shared" si="3"/>
        <v>460300</v>
      </c>
      <c r="D108" s="221">
        <f>SUM(D109:D117)</f>
        <v>460300</v>
      </c>
      <c r="E108" s="221"/>
      <c r="F108" s="51"/>
      <c r="G108" s="110"/>
      <c r="H108" s="243"/>
      <c r="I108" s="243"/>
      <c r="J108" s="110"/>
      <c r="K108" s="110"/>
      <c r="L108" s="110"/>
      <c r="IK108" s="110"/>
      <c r="IL108" s="110"/>
      <c r="IM108" s="110"/>
      <c r="IN108" s="110"/>
      <c r="IO108" s="110"/>
      <c r="IP108" s="110"/>
      <c r="IQ108" s="110"/>
      <c r="IR108" s="110"/>
      <c r="IS108" s="110"/>
    </row>
    <row r="109" spans="1:253" s="10" customFormat="1" ht="60" hidden="1" x14ac:dyDescent="0.25">
      <c r="A109" s="82">
        <v>41050100</v>
      </c>
      <c r="B109" s="26" t="s">
        <v>205</v>
      </c>
      <c r="C109" s="172">
        <f t="shared" si="3"/>
        <v>0</v>
      </c>
      <c r="D109" s="169"/>
      <c r="E109" s="169"/>
      <c r="F109" s="53"/>
      <c r="G109" s="9"/>
      <c r="H109" s="244"/>
      <c r="I109" s="245"/>
      <c r="J109" s="9"/>
      <c r="K109" s="9"/>
      <c r="L109" s="9"/>
      <c r="IK109" s="9"/>
      <c r="IL109" s="9"/>
      <c r="IM109" s="9"/>
      <c r="IN109" s="9"/>
      <c r="IO109" s="9"/>
      <c r="IP109" s="9"/>
      <c r="IQ109" s="9"/>
      <c r="IR109" s="9"/>
      <c r="IS109" s="9"/>
    </row>
    <row r="110" spans="1:253" s="10" customFormat="1" ht="45" hidden="1" x14ac:dyDescent="0.25">
      <c r="A110" s="82">
        <v>41050200</v>
      </c>
      <c r="B110" s="26" t="s">
        <v>235</v>
      </c>
      <c r="C110" s="172">
        <f t="shared" si="3"/>
        <v>0</v>
      </c>
      <c r="D110" s="169"/>
      <c r="E110" s="169"/>
      <c r="F110" s="53"/>
      <c r="G110" s="9"/>
      <c r="H110" s="244"/>
      <c r="I110" s="245"/>
      <c r="J110" s="9"/>
      <c r="K110" s="9"/>
      <c r="L110" s="9"/>
      <c r="IK110" s="9"/>
      <c r="IL110" s="9"/>
      <c r="IM110" s="9"/>
      <c r="IN110" s="9"/>
      <c r="IO110" s="9"/>
      <c r="IP110" s="9"/>
      <c r="IQ110" s="9"/>
      <c r="IR110" s="9"/>
      <c r="IS110" s="9"/>
    </row>
    <row r="111" spans="1:253" s="10" customFormat="1" ht="60" hidden="1" x14ac:dyDescent="0.25">
      <c r="A111" s="82">
        <v>41050300</v>
      </c>
      <c r="B111" s="26" t="s">
        <v>206</v>
      </c>
      <c r="C111" s="55">
        <f t="shared" si="3"/>
        <v>0</v>
      </c>
      <c r="D111" s="169"/>
      <c r="E111" s="222"/>
      <c r="F111" s="54"/>
      <c r="G111" s="9"/>
      <c r="H111" s="246"/>
      <c r="I111" s="245"/>
      <c r="J111" s="9"/>
      <c r="K111" s="9"/>
      <c r="L111" s="9"/>
      <c r="IK111" s="9"/>
      <c r="IL111" s="9"/>
      <c r="IM111" s="9"/>
      <c r="IN111" s="9"/>
      <c r="IO111" s="9"/>
      <c r="IP111" s="9"/>
      <c r="IQ111" s="9"/>
      <c r="IR111" s="9"/>
      <c r="IS111" s="9"/>
    </row>
    <row r="112" spans="1:253" s="10" customFormat="1" ht="15" hidden="1" x14ac:dyDescent="0.25">
      <c r="A112" s="25">
        <v>41035000</v>
      </c>
      <c r="B112" s="26" t="s">
        <v>73</v>
      </c>
      <c r="C112" s="55">
        <f t="shared" si="3"/>
        <v>0</v>
      </c>
      <c r="D112" s="55"/>
      <c r="E112" s="55"/>
      <c r="F112" s="55"/>
      <c r="G112" s="9"/>
      <c r="H112" s="240">
        <v>154400</v>
      </c>
      <c r="I112" s="9"/>
      <c r="J112" s="9"/>
      <c r="K112" s="9"/>
      <c r="L112" s="9"/>
      <c r="IK112" s="9"/>
      <c r="IL112" s="9"/>
      <c r="IM112" s="9"/>
      <c r="IN112" s="9"/>
      <c r="IO112" s="9"/>
      <c r="IP112" s="9"/>
      <c r="IQ112" s="9"/>
      <c r="IR112" s="9"/>
      <c r="IS112" s="9"/>
    </row>
    <row r="113" spans="1:253" s="10" customFormat="1" ht="27" hidden="1" customHeight="1" x14ac:dyDescent="0.25">
      <c r="A113" s="25">
        <v>41035200</v>
      </c>
      <c r="B113" s="26" t="s">
        <v>65</v>
      </c>
      <c r="C113" s="55">
        <f t="shared" si="3"/>
        <v>0</v>
      </c>
      <c r="D113" s="55"/>
      <c r="E113" s="55"/>
      <c r="F113" s="55"/>
      <c r="G113" s="9"/>
      <c r="H113" s="9"/>
      <c r="I113" s="9"/>
      <c r="J113" s="9"/>
      <c r="K113" s="9"/>
      <c r="L113" s="9"/>
      <c r="IK113" s="9"/>
      <c r="IL113" s="9"/>
      <c r="IM113" s="9"/>
      <c r="IN113" s="9"/>
      <c r="IO113" s="9"/>
      <c r="IP113" s="9"/>
      <c r="IQ113" s="9"/>
      <c r="IR113" s="9"/>
      <c r="IS113" s="9"/>
    </row>
    <row r="114" spans="1:253" s="10" customFormat="1" ht="60" hidden="1" x14ac:dyDescent="0.25">
      <c r="A114" s="82">
        <v>41050700</v>
      </c>
      <c r="B114" s="173" t="s">
        <v>207</v>
      </c>
      <c r="C114" s="55">
        <f t="shared" si="3"/>
        <v>0</v>
      </c>
      <c r="D114" s="169"/>
      <c r="E114" s="169"/>
      <c r="F114" s="53"/>
      <c r="G114" s="9"/>
      <c r="H114" s="245"/>
      <c r="I114" s="245"/>
      <c r="J114" s="9"/>
      <c r="K114" s="9"/>
      <c r="L114" s="9"/>
      <c r="IK114" s="9"/>
      <c r="IL114" s="9"/>
      <c r="IM114" s="9"/>
      <c r="IN114" s="9"/>
      <c r="IO114" s="9"/>
      <c r="IP114" s="9"/>
      <c r="IQ114" s="9"/>
      <c r="IR114" s="9"/>
      <c r="IS114" s="9"/>
    </row>
    <row r="115" spans="1:253" s="10" customFormat="1" ht="45" x14ac:dyDescent="0.25">
      <c r="A115" s="82">
        <v>41051200</v>
      </c>
      <c r="B115" s="173" t="s">
        <v>236</v>
      </c>
      <c r="C115" s="55">
        <f t="shared" si="3"/>
        <v>384700</v>
      </c>
      <c r="D115" s="169">
        <v>384700</v>
      </c>
      <c r="E115" s="169"/>
      <c r="F115" s="53"/>
      <c r="G115" s="9"/>
      <c r="H115" s="245"/>
      <c r="I115" s="245"/>
      <c r="J115" s="9"/>
      <c r="K115" s="9"/>
      <c r="L115" s="9"/>
      <c r="IK115" s="9"/>
      <c r="IL115" s="9"/>
      <c r="IM115" s="9"/>
      <c r="IN115" s="9"/>
      <c r="IO115" s="9"/>
      <c r="IP115" s="9"/>
      <c r="IQ115" s="9"/>
      <c r="IR115" s="9"/>
      <c r="IS115" s="9"/>
    </row>
    <row r="116" spans="1:253" s="10" customFormat="1" ht="30" x14ac:dyDescent="0.25">
      <c r="A116" s="82">
        <v>41051500</v>
      </c>
      <c r="B116" s="176" t="s">
        <v>233</v>
      </c>
      <c r="C116" s="55">
        <f t="shared" si="3"/>
        <v>75600</v>
      </c>
      <c r="D116" s="169">
        <v>75600</v>
      </c>
      <c r="E116" s="169"/>
      <c r="F116" s="53"/>
      <c r="G116" s="9"/>
      <c r="H116" s="9"/>
      <c r="I116" s="9"/>
      <c r="J116" s="9"/>
      <c r="K116" s="9"/>
      <c r="L116" s="9"/>
      <c r="IK116" s="9"/>
      <c r="IL116" s="9"/>
      <c r="IM116" s="9"/>
      <c r="IN116" s="9"/>
      <c r="IO116" s="9"/>
      <c r="IP116" s="9"/>
      <c r="IQ116" s="9"/>
      <c r="IR116" s="9"/>
      <c r="IS116" s="9"/>
    </row>
    <row r="117" spans="1:253" s="10" customFormat="1" ht="45" hidden="1" x14ac:dyDescent="0.25">
      <c r="A117" s="185">
        <v>41052000</v>
      </c>
      <c r="B117" s="176" t="s">
        <v>234</v>
      </c>
      <c r="C117" s="55">
        <f t="shared" si="3"/>
        <v>0</v>
      </c>
      <c r="D117" s="169"/>
      <c r="E117" s="169"/>
      <c r="F117" s="53"/>
      <c r="G117" s="9"/>
      <c r="H117" s="9"/>
      <c r="I117" s="9"/>
      <c r="J117" s="9"/>
      <c r="K117" s="9"/>
      <c r="L117" s="9"/>
      <c r="IK117" s="9"/>
      <c r="IL117" s="9"/>
      <c r="IM117" s="9"/>
      <c r="IN117" s="9"/>
      <c r="IO117" s="9"/>
      <c r="IP117" s="9"/>
      <c r="IQ117" s="9"/>
      <c r="IR117" s="9"/>
      <c r="IS117" s="9"/>
    </row>
    <row r="118" spans="1:253" s="10" customFormat="1" ht="84.75" hidden="1" customHeight="1" x14ac:dyDescent="0.25">
      <c r="A118" s="82"/>
      <c r="B118" s="173"/>
      <c r="C118" s="55">
        <f t="shared" si="3"/>
        <v>0</v>
      </c>
      <c r="D118" s="53"/>
      <c r="E118" s="53"/>
      <c r="F118" s="53"/>
      <c r="G118" s="9"/>
      <c r="H118" s="9"/>
      <c r="I118" s="9"/>
      <c r="J118" s="9"/>
      <c r="K118" s="9"/>
      <c r="L118" s="9"/>
      <c r="IK118" s="9"/>
      <c r="IL118" s="9"/>
      <c r="IM118" s="9"/>
      <c r="IN118" s="9"/>
      <c r="IO118" s="9"/>
      <c r="IP118" s="9"/>
      <c r="IQ118" s="9"/>
      <c r="IR118" s="9"/>
      <c r="IS118" s="9"/>
    </row>
    <row r="119" spans="1:253" s="30" customFormat="1" ht="14.25" hidden="1" x14ac:dyDescent="0.2">
      <c r="A119" s="15">
        <v>50000000</v>
      </c>
      <c r="B119" s="174" t="s">
        <v>14</v>
      </c>
      <c r="C119" s="170">
        <f t="shared" si="3"/>
        <v>0</v>
      </c>
      <c r="D119" s="50">
        <f t="shared" ref="D119:F120" si="4">D120</f>
        <v>0</v>
      </c>
      <c r="E119" s="50">
        <f t="shared" si="4"/>
        <v>0</v>
      </c>
      <c r="F119" s="50">
        <f t="shared" si="4"/>
        <v>0</v>
      </c>
      <c r="G119" s="29"/>
      <c r="H119" s="29"/>
      <c r="I119" s="29"/>
      <c r="J119" s="29"/>
      <c r="K119" s="29"/>
      <c r="L119" s="29"/>
      <c r="IK119" s="29"/>
      <c r="IL119" s="29"/>
      <c r="IM119" s="29"/>
      <c r="IN119" s="29"/>
      <c r="IO119" s="29"/>
      <c r="IP119" s="29"/>
      <c r="IQ119" s="29"/>
      <c r="IR119" s="29"/>
      <c r="IS119" s="29"/>
    </row>
    <row r="120" spans="1:253" s="19" customFormat="1" ht="15" hidden="1" x14ac:dyDescent="0.25">
      <c r="A120" s="16">
        <v>50100000</v>
      </c>
      <c r="B120" s="175" t="s">
        <v>208</v>
      </c>
      <c r="C120" s="170">
        <f t="shared" si="3"/>
        <v>0</v>
      </c>
      <c r="D120" s="50">
        <f t="shared" si="4"/>
        <v>0</v>
      </c>
      <c r="E120" s="50">
        <f t="shared" si="4"/>
        <v>0</v>
      </c>
      <c r="F120" s="50">
        <f t="shared" si="4"/>
        <v>0</v>
      </c>
      <c r="G120" s="18"/>
      <c r="H120" s="18"/>
      <c r="I120" s="18"/>
      <c r="J120" s="18"/>
      <c r="K120" s="18"/>
      <c r="L120" s="18"/>
      <c r="IK120" s="18"/>
      <c r="IL120" s="18"/>
      <c r="IM120" s="18"/>
      <c r="IN120" s="18"/>
      <c r="IO120" s="18"/>
      <c r="IP120" s="18"/>
      <c r="IQ120" s="18"/>
      <c r="IR120" s="18"/>
      <c r="IS120" s="18"/>
    </row>
    <row r="121" spans="1:253" s="47" customFormat="1" ht="29.25" hidden="1" customHeight="1" x14ac:dyDescent="0.25">
      <c r="A121" s="6">
        <v>50110000</v>
      </c>
      <c r="B121" s="176" t="s">
        <v>209</v>
      </c>
      <c r="C121" s="172">
        <f t="shared" si="3"/>
        <v>0</v>
      </c>
      <c r="D121" s="53"/>
      <c r="E121" s="53"/>
      <c r="F121" s="53"/>
      <c r="G121" s="46"/>
      <c r="H121" s="46"/>
      <c r="I121" s="46"/>
      <c r="J121" s="46"/>
      <c r="K121" s="46"/>
      <c r="L121" s="46"/>
      <c r="IK121" s="46"/>
      <c r="IL121" s="46"/>
      <c r="IM121" s="46"/>
      <c r="IN121" s="46"/>
      <c r="IO121" s="46"/>
      <c r="IP121" s="46"/>
      <c r="IQ121" s="46"/>
      <c r="IR121" s="46"/>
      <c r="IS121" s="46"/>
    </row>
    <row r="122" spans="1:253" s="61" customFormat="1" ht="21.75" customHeight="1" x14ac:dyDescent="0.3">
      <c r="A122" s="156" t="s">
        <v>159</v>
      </c>
      <c r="B122" s="266" t="s">
        <v>278</v>
      </c>
      <c r="C122" s="62">
        <f>SUM(D122+E122)</f>
        <v>95737300</v>
      </c>
      <c r="D122" s="223">
        <f>SUM(D10+D62+D94+D101+D119)</f>
        <v>92307300</v>
      </c>
      <c r="E122" s="223">
        <f>SUM(E10+E62+E94+E101+E119)</f>
        <v>3430000</v>
      </c>
      <c r="F122" s="63">
        <f>SUM(F10+F62+F94+F101+F119)</f>
        <v>500000</v>
      </c>
      <c r="G122" s="60"/>
      <c r="H122" s="60"/>
      <c r="I122" s="60"/>
      <c r="J122" s="60"/>
      <c r="K122" s="60"/>
      <c r="L122" s="60"/>
      <c r="IK122" s="60"/>
      <c r="IL122" s="60"/>
      <c r="IM122" s="60"/>
      <c r="IN122" s="60"/>
      <c r="IO122" s="60"/>
      <c r="IP122" s="60"/>
      <c r="IQ122" s="60"/>
      <c r="IR122" s="60"/>
      <c r="IS122" s="60"/>
    </row>
    <row r="123" spans="1:253" ht="2.25" customHeight="1" x14ac:dyDescent="0.2"/>
    <row r="124" spans="1:253" hidden="1" x14ac:dyDescent="0.2">
      <c r="D124" s="186"/>
    </row>
    <row r="125" spans="1:253" ht="2.25" customHeight="1" x14ac:dyDescent="0.2">
      <c r="D125" s="104"/>
    </row>
    <row r="126" spans="1:253" ht="6.75" customHeight="1" x14ac:dyDescent="0.2"/>
    <row r="127" spans="1:253" s="143" customFormat="1" ht="26.25" customHeight="1" x14ac:dyDescent="0.25">
      <c r="A127" s="520" t="s">
        <v>375</v>
      </c>
      <c r="B127" s="520"/>
      <c r="C127" s="520"/>
      <c r="D127" s="520"/>
      <c r="E127" s="520"/>
      <c r="F127" s="520"/>
      <c r="G127" s="282"/>
      <c r="H127" s="282"/>
      <c r="I127" s="282"/>
      <c r="J127" s="282"/>
      <c r="K127" s="282"/>
      <c r="L127" s="282"/>
      <c r="IK127" s="282"/>
      <c r="IL127" s="282"/>
      <c r="IM127" s="282"/>
      <c r="IN127" s="282"/>
      <c r="IO127" s="282"/>
      <c r="IP127" s="282"/>
      <c r="IQ127" s="282"/>
      <c r="IR127" s="282"/>
      <c r="IS127" s="282"/>
    </row>
    <row r="128" spans="1:253" ht="10.5" customHeight="1" x14ac:dyDescent="0.2"/>
  </sheetData>
  <autoFilter ref="A7:F122">
    <filterColumn colId="2">
      <customFilters and="1">
        <customFilter operator="notEqual" val=" "/>
      </customFilters>
    </filterColumn>
    <filterColumn colId="4" showButton="0"/>
  </autoFilter>
  <mergeCells count="9">
    <mergeCell ref="A127:F127"/>
    <mergeCell ref="C1:F1"/>
    <mergeCell ref="C7:C8"/>
    <mergeCell ref="D7:D8"/>
    <mergeCell ref="E7:F7"/>
    <mergeCell ref="A7:A8"/>
    <mergeCell ref="A3:F3"/>
    <mergeCell ref="B7:B8"/>
    <mergeCell ref="A4:B4"/>
  </mergeCells>
  <phoneticPr fontId="3" type="noConversion"/>
  <printOptions horizontalCentered="1"/>
  <pageMargins left="0.59055118110236227" right="0.19685039370078741" top="0.59055118110236227" bottom="0.39370078740157483" header="0" footer="0.27559055118110237"/>
  <pageSetup paperSize="9" scale="64" fitToHeight="0" orientation="portrait" verticalDpi="300" r:id="rId1"/>
  <headerFooter alignWithMargins="0">
    <oddFooter>&amp;R&amp;P</oddFooter>
  </headerFooter>
  <rowBreaks count="1" manualBreakCount="1">
    <brk id="5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view="pageBreakPreview" topLeftCell="A7" zoomScale="75" zoomScaleNormal="100" workbookViewId="0">
      <selection activeCell="F17" sqref="F17"/>
    </sheetView>
  </sheetViews>
  <sheetFormatPr defaultColWidth="9.1640625" defaultRowHeight="12.75" x14ac:dyDescent="0.2"/>
  <cols>
    <col min="1" max="1" width="9.5" style="369" customWidth="1"/>
    <col min="2" max="2" width="54.1640625" style="369" customWidth="1"/>
    <col min="3" max="6" width="16.33203125" style="369" customWidth="1"/>
    <col min="7" max="8" width="9.1640625" style="369" customWidth="1"/>
    <col min="9" max="16384" width="9.1640625" style="370"/>
  </cols>
  <sheetData>
    <row r="1" spans="1:11" s="368" customFormat="1" ht="12.75" customHeight="1" x14ac:dyDescent="0.25">
      <c r="A1" s="367"/>
      <c r="B1" s="367"/>
      <c r="C1" s="367"/>
      <c r="D1" s="367"/>
      <c r="E1" s="367"/>
      <c r="F1" s="367"/>
      <c r="G1" s="367"/>
      <c r="H1" s="367"/>
    </row>
    <row r="2" spans="1:11" ht="12.75" customHeight="1" x14ac:dyDescent="0.2"/>
    <row r="3" spans="1:11" ht="92.25" customHeight="1" x14ac:dyDescent="0.2">
      <c r="C3" s="371"/>
      <c r="D3" s="521" t="s">
        <v>378</v>
      </c>
      <c r="E3" s="521"/>
      <c r="F3" s="521"/>
      <c r="G3" s="418"/>
      <c r="H3" s="372"/>
      <c r="I3" s="372"/>
      <c r="J3" s="372"/>
      <c r="K3" s="372"/>
    </row>
    <row r="4" spans="1:11" ht="15.75" x14ac:dyDescent="0.2">
      <c r="C4" s="371"/>
      <c r="D4" s="470"/>
      <c r="E4" s="470"/>
      <c r="F4" s="470"/>
      <c r="G4" s="418"/>
      <c r="H4" s="372"/>
      <c r="I4" s="372"/>
      <c r="J4" s="372"/>
      <c r="K4" s="372"/>
    </row>
    <row r="5" spans="1:11" ht="51" customHeight="1" x14ac:dyDescent="0.2">
      <c r="A5" s="527" t="s">
        <v>359</v>
      </c>
      <c r="B5" s="527"/>
      <c r="C5" s="527"/>
      <c r="D5" s="527"/>
      <c r="E5" s="527"/>
      <c r="F5" s="527"/>
    </row>
    <row r="6" spans="1:11" ht="23.25" customHeight="1" x14ac:dyDescent="0.2">
      <c r="A6" s="525">
        <v>24533000000</v>
      </c>
      <c r="B6" s="525"/>
      <c r="C6" s="373"/>
      <c r="D6" s="373"/>
      <c r="E6" s="373"/>
      <c r="F6" s="373"/>
    </row>
    <row r="7" spans="1:11" ht="14.25" customHeight="1" x14ac:dyDescent="0.2">
      <c r="A7" s="287" t="s">
        <v>287</v>
      </c>
      <c r="B7" s="287"/>
      <c r="C7" s="373"/>
      <c r="D7" s="373"/>
      <c r="E7" s="373"/>
      <c r="F7" s="373"/>
    </row>
    <row r="8" spans="1:11" ht="15" customHeight="1" x14ac:dyDescent="0.2">
      <c r="A8" s="528"/>
      <c r="B8" s="528"/>
      <c r="C8" s="528"/>
      <c r="D8" s="528"/>
      <c r="E8" s="528"/>
      <c r="F8" s="374" t="s">
        <v>76</v>
      </c>
    </row>
    <row r="9" spans="1:11" s="377" customFormat="1" ht="24.75" customHeight="1" x14ac:dyDescent="0.2">
      <c r="A9" s="529" t="s">
        <v>6</v>
      </c>
      <c r="B9" s="529" t="s">
        <v>301</v>
      </c>
      <c r="C9" s="529" t="s">
        <v>302</v>
      </c>
      <c r="D9" s="529" t="s">
        <v>17</v>
      </c>
      <c r="E9" s="529" t="s">
        <v>18</v>
      </c>
      <c r="F9" s="529"/>
      <c r="G9" s="376"/>
      <c r="H9" s="376"/>
    </row>
    <row r="10" spans="1:11" s="377" customFormat="1" ht="72" customHeight="1" x14ac:dyDescent="0.2">
      <c r="A10" s="529"/>
      <c r="B10" s="529"/>
      <c r="C10" s="529"/>
      <c r="D10" s="529"/>
      <c r="E10" s="375" t="s">
        <v>302</v>
      </c>
      <c r="F10" s="378" t="s">
        <v>303</v>
      </c>
      <c r="G10" s="376"/>
      <c r="H10" s="376"/>
    </row>
    <row r="11" spans="1:11" s="384" customFormat="1" ht="26.25" customHeight="1" x14ac:dyDescent="0.2">
      <c r="A11" s="379"/>
      <c r="B11" s="380" t="s">
        <v>304</v>
      </c>
      <c r="C11" s="381"/>
      <c r="D11" s="382"/>
      <c r="E11" s="382"/>
      <c r="F11" s="383"/>
      <c r="G11" s="369"/>
      <c r="H11" s="369"/>
    </row>
    <row r="12" spans="1:11" s="389" customFormat="1" ht="51" customHeight="1" x14ac:dyDescent="0.2">
      <c r="A12" s="385">
        <v>200000</v>
      </c>
      <c r="B12" s="386" t="s">
        <v>305</v>
      </c>
      <c r="C12" s="387">
        <f>C13+C15</f>
        <v>0</v>
      </c>
      <c r="D12" s="387">
        <f>D13+D15</f>
        <v>-132800</v>
      </c>
      <c r="E12" s="387">
        <f>E13+E15</f>
        <v>132800</v>
      </c>
      <c r="F12" s="387">
        <f>F13+F15</f>
        <v>132800</v>
      </c>
      <c r="G12" s="388"/>
      <c r="H12" s="388"/>
    </row>
    <row r="13" spans="1:11" s="395" customFormat="1" ht="51" hidden="1" customHeight="1" x14ac:dyDescent="0.2">
      <c r="A13" s="390">
        <v>205000</v>
      </c>
      <c r="B13" s="391" t="s">
        <v>306</v>
      </c>
      <c r="C13" s="392">
        <f>SUM(D13+E13)</f>
        <v>0</v>
      </c>
      <c r="D13" s="393">
        <f>D14</f>
        <v>0</v>
      </c>
      <c r="E13" s="393">
        <f>E14</f>
        <v>0</v>
      </c>
      <c r="F13" s="393">
        <f>F14</f>
        <v>0</v>
      </c>
      <c r="G13" s="394"/>
      <c r="H13" s="394"/>
    </row>
    <row r="14" spans="1:11" s="395" customFormat="1" ht="51" hidden="1" customHeight="1" x14ac:dyDescent="0.2">
      <c r="A14" s="396">
        <v>205100</v>
      </c>
      <c r="B14" s="397" t="s">
        <v>307</v>
      </c>
      <c r="C14" s="392">
        <f>SUM(D14+E14)</f>
        <v>0</v>
      </c>
      <c r="D14" s="398"/>
      <c r="E14" s="398"/>
      <c r="F14" s="399"/>
      <c r="G14" s="394"/>
      <c r="H14" s="394"/>
    </row>
    <row r="15" spans="1:11" s="420" customFormat="1" ht="51" customHeight="1" x14ac:dyDescent="0.2">
      <c r="A15" s="390">
        <v>208000</v>
      </c>
      <c r="B15" s="391" t="s">
        <v>308</v>
      </c>
      <c r="C15" s="393">
        <f>SUM(C16:C17)</f>
        <v>0</v>
      </c>
      <c r="D15" s="393">
        <f>SUM(D16:D17)</f>
        <v>-132800</v>
      </c>
      <c r="E15" s="393">
        <f>SUM(E16:E17)</f>
        <v>132800</v>
      </c>
      <c r="F15" s="393">
        <f>SUM(F16:F17)</f>
        <v>132800</v>
      </c>
      <c r="G15" s="419"/>
      <c r="H15" s="419"/>
    </row>
    <row r="16" spans="1:11" s="395" customFormat="1" ht="51" hidden="1" customHeight="1" x14ac:dyDescent="0.2">
      <c r="A16" s="396">
        <v>208100</v>
      </c>
      <c r="B16" s="397" t="s">
        <v>307</v>
      </c>
      <c r="C16" s="392">
        <f>SUM(D16+E16)</f>
        <v>0</v>
      </c>
      <c r="D16" s="398"/>
      <c r="E16" s="398"/>
      <c r="F16" s="398"/>
      <c r="G16" s="394"/>
      <c r="H16" s="394"/>
    </row>
    <row r="17" spans="1:14" s="395" customFormat="1" ht="51" customHeight="1" x14ac:dyDescent="0.2">
      <c r="A17" s="396">
        <v>208400</v>
      </c>
      <c r="B17" s="397" t="s">
        <v>309</v>
      </c>
      <c r="C17" s="392">
        <f>SUM(D17+E17)</f>
        <v>0</v>
      </c>
      <c r="D17" s="398">
        <f>-132800</f>
        <v>-132800</v>
      </c>
      <c r="E17" s="398">
        <v>132800</v>
      </c>
      <c r="F17" s="398">
        <v>132800</v>
      </c>
      <c r="G17" s="394"/>
      <c r="H17" s="394"/>
    </row>
    <row r="18" spans="1:14" s="395" customFormat="1" ht="51" hidden="1" customHeight="1" x14ac:dyDescent="0.2">
      <c r="A18" s="396" t="s">
        <v>310</v>
      </c>
      <c r="B18" s="397" t="s">
        <v>310</v>
      </c>
      <c r="C18" s="392">
        <f>SUM(D18+E18)</f>
        <v>0</v>
      </c>
      <c r="D18" s="398"/>
      <c r="E18" s="398"/>
      <c r="F18" s="399"/>
      <c r="G18" s="394"/>
      <c r="H18" s="394"/>
    </row>
    <row r="19" spans="1:14" s="389" customFormat="1" ht="51" customHeight="1" x14ac:dyDescent="0.2">
      <c r="A19" s="385">
        <v>600000</v>
      </c>
      <c r="B19" s="386" t="s">
        <v>311</v>
      </c>
      <c r="C19" s="387">
        <f>C20+C22</f>
        <v>0</v>
      </c>
      <c r="D19" s="387">
        <f>D20+D22</f>
        <v>-132800</v>
      </c>
      <c r="E19" s="387">
        <f>E20+E22</f>
        <v>132800</v>
      </c>
      <c r="F19" s="387">
        <f>F20+F22</f>
        <v>132800</v>
      </c>
      <c r="G19" s="388"/>
      <c r="H19" s="388"/>
    </row>
    <row r="20" spans="1:14" s="395" customFormat="1" ht="51" hidden="1" customHeight="1" x14ac:dyDescent="0.2">
      <c r="A20" s="396">
        <v>601200</v>
      </c>
      <c r="B20" s="397" t="s">
        <v>312</v>
      </c>
      <c r="C20" s="392">
        <f>SUM(D20+E20)</f>
        <v>0</v>
      </c>
      <c r="D20" s="398"/>
      <c r="E20" s="398"/>
      <c r="F20" s="399"/>
      <c r="G20" s="394"/>
      <c r="H20" s="394"/>
    </row>
    <row r="21" spans="1:14" s="403" customFormat="1" ht="51" hidden="1" customHeight="1" x14ac:dyDescent="0.2">
      <c r="A21" s="396">
        <v>601220</v>
      </c>
      <c r="B21" s="397" t="s">
        <v>313</v>
      </c>
      <c r="C21" s="392">
        <f>SUM(D21+E21)</f>
        <v>0</v>
      </c>
      <c r="D21" s="398"/>
      <c r="E21" s="398"/>
      <c r="F21" s="399"/>
      <c r="G21" s="402"/>
      <c r="H21" s="402"/>
    </row>
    <row r="22" spans="1:14" s="395" customFormat="1" ht="51" customHeight="1" x14ac:dyDescent="0.2">
      <c r="A22" s="400">
        <v>602000</v>
      </c>
      <c r="B22" s="401" t="s">
        <v>314</v>
      </c>
      <c r="C22" s="392">
        <f>SUM(D22+E22)</f>
        <v>0</v>
      </c>
      <c r="D22" s="387">
        <f>SUM(D23:D25)</f>
        <v>-132800</v>
      </c>
      <c r="E22" s="387">
        <f>SUM(E23:E25)</f>
        <v>132800</v>
      </c>
      <c r="F22" s="387">
        <f>SUM(F23:F25)</f>
        <v>132800</v>
      </c>
      <c r="G22" s="394"/>
      <c r="H22" s="394"/>
    </row>
    <row r="23" spans="1:14" s="395" customFormat="1" ht="42.75" hidden="1" customHeight="1" x14ac:dyDescent="0.2">
      <c r="A23" s="396">
        <v>602100</v>
      </c>
      <c r="B23" s="397" t="s">
        <v>307</v>
      </c>
      <c r="C23" s="392">
        <f>SUM(D23+E23)</f>
        <v>0</v>
      </c>
      <c r="D23" s="398"/>
      <c r="E23" s="398"/>
      <c r="F23" s="398"/>
      <c r="G23" s="394"/>
      <c r="H23" s="394"/>
    </row>
    <row r="24" spans="1:14" ht="21.75" hidden="1" customHeight="1" x14ac:dyDescent="0.25">
      <c r="A24" s="404"/>
      <c r="B24" s="405"/>
      <c r="C24" s="406"/>
      <c r="D24" s="406"/>
      <c r="E24" s="407"/>
      <c r="F24" s="408"/>
    </row>
    <row r="25" spans="1:14" s="410" customFormat="1" ht="50.25" customHeight="1" x14ac:dyDescent="0.2">
      <c r="A25" s="404">
        <v>602400</v>
      </c>
      <c r="B25" s="405" t="s">
        <v>309</v>
      </c>
      <c r="C25" s="409">
        <f>SUM(D25+E25)</f>
        <v>0</v>
      </c>
      <c r="D25" s="398">
        <f>-132800</f>
        <v>-132800</v>
      </c>
      <c r="E25" s="398">
        <v>132800</v>
      </c>
      <c r="F25" s="398">
        <v>132800</v>
      </c>
      <c r="G25" s="369"/>
      <c r="H25" s="369"/>
    </row>
    <row r="26" spans="1:14" ht="32.25" customHeight="1" x14ac:dyDescent="0.2"/>
    <row r="27" spans="1:14" ht="12.75" customHeight="1" x14ac:dyDescent="0.2"/>
    <row r="28" spans="1:14" ht="27.75" customHeight="1" x14ac:dyDescent="0.3">
      <c r="A28" s="526" t="s">
        <v>376</v>
      </c>
      <c r="B28" s="526"/>
      <c r="C28" s="526"/>
      <c r="D28" s="526"/>
      <c r="E28" s="526"/>
      <c r="F28" s="526"/>
      <c r="H28" s="411"/>
    </row>
    <row r="29" spans="1:14" ht="12.75" customHeight="1" x14ac:dyDescent="0.2"/>
    <row r="30" spans="1:14" s="416" customFormat="1" ht="18" x14ac:dyDescent="0.25">
      <c r="A30" s="412"/>
      <c r="B30" s="413"/>
      <c r="C30" s="413"/>
      <c r="D30" s="414"/>
      <c r="E30" s="75"/>
      <c r="F30" s="413"/>
      <c r="G30" s="413"/>
      <c r="H30" s="413"/>
      <c r="I30" s="413"/>
      <c r="J30" s="413"/>
      <c r="K30" s="413"/>
      <c r="L30" s="415"/>
      <c r="N30" s="417"/>
    </row>
    <row r="31" spans="1:14" ht="12.75" customHeight="1" x14ac:dyDescent="0.2"/>
    <row r="32" spans="1:1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</sheetData>
  <mergeCells count="10">
    <mergeCell ref="A6:B6"/>
    <mergeCell ref="D3:F3"/>
    <mergeCell ref="A28:F28"/>
    <mergeCell ref="A5:F5"/>
    <mergeCell ref="A8:E8"/>
    <mergeCell ref="A9:A10"/>
    <mergeCell ref="B9:B10"/>
    <mergeCell ref="C9:C10"/>
    <mergeCell ref="D9:D10"/>
    <mergeCell ref="E9:F9"/>
  </mergeCells>
  <phoneticPr fontId="90" type="noConversion"/>
  <pageMargins left="0.75" right="0.75" top="1" bottom="1" header="0.5" footer="0.5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  <outlinePr summaryBelow="0" summaryRight="0"/>
  </sheetPr>
  <dimension ref="A1:IU113"/>
  <sheetViews>
    <sheetView showZeros="0" view="pageBreakPreview" topLeftCell="A93" zoomScaleNormal="100" zoomScaleSheetLayoutView="96" workbookViewId="0">
      <selection activeCell="E85" sqref="E85"/>
    </sheetView>
  </sheetViews>
  <sheetFormatPr defaultColWidth="10.6640625" defaultRowHeight="18" x14ac:dyDescent="0.25"/>
  <cols>
    <col min="1" max="1" width="11.6640625" style="76" customWidth="1"/>
    <col min="2" max="2" width="11.33203125" style="76" customWidth="1"/>
    <col min="3" max="3" width="10.5" style="76" customWidth="1"/>
    <col min="4" max="4" width="52.83203125" style="119" customWidth="1"/>
    <col min="5" max="6" width="13.5" style="76" customWidth="1"/>
    <col min="7" max="7" width="13.1640625" style="76" customWidth="1"/>
    <col min="8" max="8" width="11.6640625" style="76" customWidth="1"/>
    <col min="9" max="9" width="7" style="76" customWidth="1"/>
    <col min="10" max="10" width="12.1640625" style="76" bestFit="1" customWidth="1"/>
    <col min="11" max="11" width="10.83203125" style="76" customWidth="1"/>
    <col min="12" max="12" width="13.33203125" style="76" customWidth="1"/>
    <col min="13" max="13" width="10.33203125" style="76" customWidth="1"/>
    <col min="14" max="14" width="9.1640625" style="76" customWidth="1"/>
    <col min="15" max="15" width="10.1640625" style="76" customWidth="1"/>
    <col min="16" max="16" width="13.5" style="76" bestFit="1" customWidth="1"/>
    <col min="17" max="17" width="14.83203125" style="117" customWidth="1"/>
    <col min="18" max="18" width="18.5" style="118" customWidth="1"/>
    <col min="19" max="19" width="13.33203125" style="117" bestFit="1" customWidth="1"/>
    <col min="20" max="16384" width="10.6640625" style="117"/>
  </cols>
  <sheetData>
    <row r="1" spans="1:19" s="76" customFormat="1" ht="88.5" customHeight="1" x14ac:dyDescent="0.25">
      <c r="A1" s="74"/>
      <c r="B1" s="74"/>
      <c r="C1" s="74"/>
      <c r="D1" s="112"/>
      <c r="E1" s="74"/>
      <c r="F1" s="74"/>
      <c r="G1" s="74"/>
      <c r="H1" s="74"/>
      <c r="I1" s="74"/>
      <c r="J1" s="74"/>
      <c r="K1" s="74"/>
      <c r="L1" s="521" t="s">
        <v>390</v>
      </c>
      <c r="M1" s="521"/>
      <c r="N1" s="521"/>
      <c r="O1" s="521"/>
      <c r="P1" s="521"/>
      <c r="Q1" s="7"/>
      <c r="R1" s="113"/>
    </row>
    <row r="2" spans="1:19" s="76" customFormat="1" ht="39" customHeight="1" x14ac:dyDescent="0.25">
      <c r="A2" s="74"/>
      <c r="B2" s="535" t="s">
        <v>360</v>
      </c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R2" s="113"/>
    </row>
    <row r="3" spans="1:19" s="76" customFormat="1" ht="18.75" x14ac:dyDescent="0.25">
      <c r="A3" s="524">
        <v>24533000000</v>
      </c>
      <c r="B3" s="524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R3" s="113"/>
    </row>
    <row r="4" spans="1:19" s="76" customFormat="1" ht="20.25" x14ac:dyDescent="0.25">
      <c r="A4" s="287" t="s">
        <v>287</v>
      </c>
      <c r="B4" s="286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R4" s="113"/>
    </row>
    <row r="5" spans="1:19" s="76" customFormat="1" ht="18.75" thickBot="1" x14ac:dyDescent="0.3">
      <c r="A5" s="74"/>
      <c r="B5" s="74"/>
      <c r="C5" s="74"/>
      <c r="D5" s="112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 t="s">
        <v>76</v>
      </c>
      <c r="R5" s="113"/>
    </row>
    <row r="6" spans="1:19" s="76" customFormat="1" ht="18" customHeight="1" x14ac:dyDescent="0.25">
      <c r="A6" s="544" t="s">
        <v>366</v>
      </c>
      <c r="B6" s="537" t="s">
        <v>367</v>
      </c>
      <c r="C6" s="537" t="s">
        <v>280</v>
      </c>
      <c r="D6" s="536" t="s">
        <v>368</v>
      </c>
      <c r="E6" s="536" t="s">
        <v>17</v>
      </c>
      <c r="F6" s="536"/>
      <c r="G6" s="536"/>
      <c r="H6" s="536"/>
      <c r="I6" s="536"/>
      <c r="J6" s="536" t="s">
        <v>18</v>
      </c>
      <c r="K6" s="536"/>
      <c r="L6" s="536"/>
      <c r="M6" s="536"/>
      <c r="N6" s="536"/>
      <c r="O6" s="536"/>
      <c r="P6" s="530" t="s">
        <v>19</v>
      </c>
      <c r="R6" s="113"/>
    </row>
    <row r="7" spans="1:19" s="76" customFormat="1" ht="18" customHeight="1" x14ac:dyDescent="0.25">
      <c r="A7" s="545"/>
      <c r="B7" s="538"/>
      <c r="C7" s="538"/>
      <c r="D7" s="540"/>
      <c r="E7" s="540" t="s">
        <v>156</v>
      </c>
      <c r="F7" s="533" t="s">
        <v>20</v>
      </c>
      <c r="G7" s="540" t="s">
        <v>21</v>
      </c>
      <c r="H7" s="540"/>
      <c r="I7" s="533" t="s">
        <v>22</v>
      </c>
      <c r="J7" s="548" t="s">
        <v>156</v>
      </c>
      <c r="K7" s="551" t="s">
        <v>157</v>
      </c>
      <c r="L7" s="533" t="s">
        <v>20</v>
      </c>
      <c r="M7" s="540" t="s">
        <v>21</v>
      </c>
      <c r="N7" s="540"/>
      <c r="O7" s="533" t="s">
        <v>22</v>
      </c>
      <c r="P7" s="531"/>
      <c r="R7" s="113"/>
    </row>
    <row r="8" spans="1:19" s="76" customFormat="1" ht="18" customHeight="1" x14ac:dyDescent="0.25">
      <c r="A8" s="545"/>
      <c r="B8" s="538"/>
      <c r="C8" s="538"/>
      <c r="D8" s="540"/>
      <c r="E8" s="540"/>
      <c r="F8" s="533"/>
      <c r="G8" s="540" t="s">
        <v>23</v>
      </c>
      <c r="H8" s="540" t="s">
        <v>24</v>
      </c>
      <c r="I8" s="533"/>
      <c r="J8" s="549"/>
      <c r="K8" s="552"/>
      <c r="L8" s="533"/>
      <c r="M8" s="540" t="s">
        <v>23</v>
      </c>
      <c r="N8" s="540" t="s">
        <v>24</v>
      </c>
      <c r="O8" s="533"/>
      <c r="P8" s="531"/>
      <c r="R8" s="113"/>
    </row>
    <row r="9" spans="1:19" s="84" customFormat="1" ht="78.75" customHeight="1" thickBot="1" x14ac:dyDescent="0.3">
      <c r="A9" s="546"/>
      <c r="B9" s="539"/>
      <c r="C9" s="539"/>
      <c r="D9" s="541"/>
      <c r="E9" s="541"/>
      <c r="F9" s="534"/>
      <c r="G9" s="541"/>
      <c r="H9" s="541"/>
      <c r="I9" s="534"/>
      <c r="J9" s="550"/>
      <c r="K9" s="553"/>
      <c r="L9" s="534"/>
      <c r="M9" s="541"/>
      <c r="N9" s="541"/>
      <c r="O9" s="534"/>
      <c r="P9" s="532"/>
      <c r="R9" s="85"/>
    </row>
    <row r="10" spans="1:19" s="84" customFormat="1" x14ac:dyDescent="0.25">
      <c r="A10" s="296">
        <v>1</v>
      </c>
      <c r="B10" s="284">
        <v>2</v>
      </c>
      <c r="C10" s="284">
        <v>3</v>
      </c>
      <c r="D10" s="284">
        <v>4</v>
      </c>
      <c r="E10" s="284">
        <v>5</v>
      </c>
      <c r="F10" s="284">
        <v>6</v>
      </c>
      <c r="G10" s="284">
        <v>7</v>
      </c>
      <c r="H10" s="284">
        <v>8</v>
      </c>
      <c r="I10" s="284">
        <v>9</v>
      </c>
      <c r="J10" s="284">
        <v>10</v>
      </c>
      <c r="K10" s="284">
        <v>11</v>
      </c>
      <c r="L10" s="284">
        <v>12</v>
      </c>
      <c r="M10" s="284">
        <v>13</v>
      </c>
      <c r="N10" s="284">
        <v>14</v>
      </c>
      <c r="O10" s="284">
        <v>15</v>
      </c>
      <c r="P10" s="297">
        <v>16</v>
      </c>
      <c r="R10" s="85"/>
    </row>
    <row r="11" spans="1:19" s="305" customFormat="1" ht="18.75" customHeight="1" x14ac:dyDescent="0.2">
      <c r="A11" s="298">
        <v>100000</v>
      </c>
      <c r="B11" s="299"/>
      <c r="C11" s="299"/>
      <c r="D11" s="488" t="s">
        <v>270</v>
      </c>
      <c r="E11" s="301">
        <f>SUM(E12)</f>
        <v>21626500</v>
      </c>
      <c r="F11" s="301">
        <f t="shared" ref="F11:P11" si="0">SUM(F12)</f>
        <v>21626500</v>
      </c>
      <c r="G11" s="301">
        <f t="shared" si="0"/>
        <v>10357300</v>
      </c>
      <c r="H11" s="301">
        <f t="shared" si="0"/>
        <v>374300</v>
      </c>
      <c r="I11" s="301">
        <f t="shared" si="0"/>
        <v>0</v>
      </c>
      <c r="J11" s="301">
        <f t="shared" si="0"/>
        <v>21800</v>
      </c>
      <c r="K11" s="301">
        <f t="shared" si="0"/>
        <v>0</v>
      </c>
      <c r="L11" s="301">
        <f t="shared" si="0"/>
        <v>21800</v>
      </c>
      <c r="M11" s="301">
        <f t="shared" si="0"/>
        <v>0</v>
      </c>
      <c r="N11" s="301">
        <f t="shared" si="0"/>
        <v>16000</v>
      </c>
      <c r="O11" s="301">
        <f t="shared" si="0"/>
        <v>0</v>
      </c>
      <c r="P11" s="302">
        <f t="shared" si="0"/>
        <v>21648300</v>
      </c>
      <c r="Q11" s="303"/>
      <c r="R11" s="304"/>
    </row>
    <row r="12" spans="1:19" s="307" customFormat="1" ht="18.75" customHeight="1" x14ac:dyDescent="0.2">
      <c r="A12" s="290">
        <v>110000</v>
      </c>
      <c r="B12" s="191"/>
      <c r="C12" s="191"/>
      <c r="D12" s="488" t="s">
        <v>270</v>
      </c>
      <c r="E12" s="306">
        <f>SUM(E13:E38)</f>
        <v>21626500</v>
      </c>
      <c r="F12" s="306">
        <f t="shared" ref="F12:P12" si="1">SUM(F13:F38)</f>
        <v>21626500</v>
      </c>
      <c r="G12" s="306">
        <f t="shared" si="1"/>
        <v>10357300</v>
      </c>
      <c r="H12" s="306">
        <f t="shared" si="1"/>
        <v>374300</v>
      </c>
      <c r="I12" s="306">
        <f t="shared" si="1"/>
        <v>0</v>
      </c>
      <c r="J12" s="306">
        <f t="shared" si="1"/>
        <v>21800</v>
      </c>
      <c r="K12" s="306">
        <f t="shared" si="1"/>
        <v>0</v>
      </c>
      <c r="L12" s="306">
        <f t="shared" si="1"/>
        <v>21800</v>
      </c>
      <c r="M12" s="306">
        <f t="shared" si="1"/>
        <v>0</v>
      </c>
      <c r="N12" s="306">
        <f t="shared" si="1"/>
        <v>16000</v>
      </c>
      <c r="O12" s="306">
        <f t="shared" si="1"/>
        <v>0</v>
      </c>
      <c r="P12" s="487">
        <f t="shared" si="1"/>
        <v>21648300</v>
      </c>
    </row>
    <row r="13" spans="1:19" s="96" customFormat="1" ht="47.25" x14ac:dyDescent="0.25">
      <c r="A13" s="335" t="s">
        <v>266</v>
      </c>
      <c r="B13" s="178" t="s">
        <v>108</v>
      </c>
      <c r="C13" s="178" t="s">
        <v>25</v>
      </c>
      <c r="D13" s="338" t="s">
        <v>210</v>
      </c>
      <c r="E13" s="334">
        <f t="shared" ref="E13:E30" si="2">F13</f>
        <v>13319000</v>
      </c>
      <c r="F13" s="334">
        <f>SUM(G13:H13)+2274600-100000+888000</f>
        <v>13319000</v>
      </c>
      <c r="G13" s="334">
        <f>10284400-400000</f>
        <v>9884400</v>
      </c>
      <c r="H13" s="334">
        <v>372000</v>
      </c>
      <c r="I13" s="334"/>
      <c r="J13" s="333">
        <f t="shared" ref="J13:J18" si="3">L13+O13</f>
        <v>21800</v>
      </c>
      <c r="K13" s="333"/>
      <c r="L13" s="334">
        <f>SUM(M13:N13)+5800</f>
        <v>21800</v>
      </c>
      <c r="M13" s="334"/>
      <c r="N13" s="334">
        <v>16000</v>
      </c>
      <c r="O13" s="334"/>
      <c r="P13" s="336">
        <f t="shared" ref="P13:P56" si="4">E13+J13</f>
        <v>13340800</v>
      </c>
      <c r="Q13" s="189"/>
      <c r="R13" s="188"/>
      <c r="S13" s="188"/>
    </row>
    <row r="14" spans="1:19" s="96" customFormat="1" ht="31.5" x14ac:dyDescent="0.25">
      <c r="A14" s="335" t="s">
        <v>253</v>
      </c>
      <c r="B14" s="178" t="s">
        <v>117</v>
      </c>
      <c r="C14" s="178" t="s">
        <v>118</v>
      </c>
      <c r="D14" s="338" t="s">
        <v>119</v>
      </c>
      <c r="E14" s="334">
        <f t="shared" si="2"/>
        <v>400000</v>
      </c>
      <c r="F14" s="334">
        <f>SUM(G14:H14)+690000-240000-50000</f>
        <v>400000</v>
      </c>
      <c r="G14" s="334"/>
      <c r="H14" s="334"/>
      <c r="I14" s="334"/>
      <c r="J14" s="333">
        <f t="shared" si="3"/>
        <v>0</v>
      </c>
      <c r="K14" s="333"/>
      <c r="L14" s="334">
        <f>SUM(M14:N14)</f>
        <v>0</v>
      </c>
      <c r="M14" s="334"/>
      <c r="N14" s="334"/>
      <c r="O14" s="334"/>
      <c r="P14" s="336">
        <f t="shared" si="4"/>
        <v>400000</v>
      </c>
      <c r="R14" s="97"/>
    </row>
    <row r="15" spans="1:19" s="96" customFormat="1" ht="47.25" x14ac:dyDescent="0.25">
      <c r="A15" s="319" t="s">
        <v>288</v>
      </c>
      <c r="B15" s="200">
        <v>2080</v>
      </c>
      <c r="C15" s="201">
        <v>721</v>
      </c>
      <c r="D15" s="489" t="s">
        <v>289</v>
      </c>
      <c r="E15" s="334">
        <f t="shared" si="2"/>
        <v>3600000</v>
      </c>
      <c r="F15" s="334">
        <f>SUM(G15+H15)+3600000</f>
        <v>3600000</v>
      </c>
      <c r="G15" s="334"/>
      <c r="H15" s="334"/>
      <c r="I15" s="334"/>
      <c r="J15" s="333">
        <f t="shared" si="3"/>
        <v>0</v>
      </c>
      <c r="K15" s="333"/>
      <c r="L15" s="334">
        <f>SUM(M15:N15)</f>
        <v>0</v>
      </c>
      <c r="M15" s="334"/>
      <c r="N15" s="334"/>
      <c r="O15" s="334"/>
      <c r="P15" s="336">
        <f t="shared" si="4"/>
        <v>3600000</v>
      </c>
      <c r="R15" s="97"/>
    </row>
    <row r="16" spans="1:19" s="94" customFormat="1" ht="47.25" x14ac:dyDescent="0.3">
      <c r="A16" s="319" t="s">
        <v>257</v>
      </c>
      <c r="B16" s="200">
        <v>2111</v>
      </c>
      <c r="C16" s="201">
        <v>726</v>
      </c>
      <c r="D16" s="338" t="s">
        <v>135</v>
      </c>
      <c r="E16" s="334">
        <f t="shared" si="2"/>
        <v>1400000</v>
      </c>
      <c r="F16" s="334">
        <v>1400000</v>
      </c>
      <c r="G16" s="334"/>
      <c r="H16" s="334"/>
      <c r="I16" s="334"/>
      <c r="J16" s="333">
        <f t="shared" si="3"/>
        <v>0</v>
      </c>
      <c r="K16" s="333"/>
      <c r="L16" s="334">
        <f>SUM(M16:N16)</f>
        <v>0</v>
      </c>
      <c r="M16" s="334"/>
      <c r="N16" s="334"/>
      <c r="O16" s="334"/>
      <c r="P16" s="336">
        <f t="shared" si="4"/>
        <v>1400000</v>
      </c>
      <c r="R16" s="95"/>
    </row>
    <row r="17" spans="1:18" s="94" customFormat="1" ht="31.5" x14ac:dyDescent="0.3">
      <c r="A17" s="319" t="s">
        <v>254</v>
      </c>
      <c r="B17" s="200">
        <v>2144</v>
      </c>
      <c r="C17" s="201">
        <v>763</v>
      </c>
      <c r="D17" s="338" t="s">
        <v>107</v>
      </c>
      <c r="E17" s="334">
        <f t="shared" si="2"/>
        <v>75600</v>
      </c>
      <c r="F17" s="334">
        <v>75600</v>
      </c>
      <c r="G17" s="334"/>
      <c r="H17" s="334"/>
      <c r="I17" s="334"/>
      <c r="J17" s="333">
        <f t="shared" si="3"/>
        <v>0</v>
      </c>
      <c r="K17" s="333"/>
      <c r="L17" s="334">
        <f>SUM(M17:N17)</f>
        <v>0</v>
      </c>
      <c r="M17" s="334"/>
      <c r="N17" s="334"/>
      <c r="O17" s="334"/>
      <c r="P17" s="336">
        <f t="shared" si="4"/>
        <v>75600</v>
      </c>
      <c r="R17" s="95"/>
    </row>
    <row r="18" spans="1:18" s="94" customFormat="1" ht="31.5" hidden="1" x14ac:dyDescent="0.3">
      <c r="A18" s="319" t="s">
        <v>267</v>
      </c>
      <c r="B18" s="200">
        <v>2146</v>
      </c>
      <c r="C18" s="201">
        <v>763</v>
      </c>
      <c r="D18" s="338" t="s">
        <v>134</v>
      </c>
      <c r="E18" s="334">
        <f t="shared" si="2"/>
        <v>0</v>
      </c>
      <c r="F18" s="334"/>
      <c r="G18" s="334"/>
      <c r="H18" s="334"/>
      <c r="I18" s="334"/>
      <c r="J18" s="333">
        <f t="shared" si="3"/>
        <v>0</v>
      </c>
      <c r="K18" s="333"/>
      <c r="L18" s="334">
        <f>SUM(M18:N18)</f>
        <v>0</v>
      </c>
      <c r="M18" s="334"/>
      <c r="N18" s="334"/>
      <c r="O18" s="334"/>
      <c r="P18" s="336">
        <f t="shared" si="4"/>
        <v>0</v>
      </c>
      <c r="R18" s="95"/>
    </row>
    <row r="19" spans="1:18" s="121" customFormat="1" ht="18.75" hidden="1" customHeight="1" x14ac:dyDescent="0.25">
      <c r="A19" s="319" t="s">
        <v>256</v>
      </c>
      <c r="B19" s="339" t="s">
        <v>153</v>
      </c>
      <c r="C19" s="340" t="s">
        <v>154</v>
      </c>
      <c r="D19" s="490" t="s">
        <v>155</v>
      </c>
      <c r="E19" s="334">
        <f t="shared" si="2"/>
        <v>0</v>
      </c>
      <c r="F19" s="334"/>
      <c r="G19" s="334"/>
      <c r="H19" s="334"/>
      <c r="I19" s="334"/>
      <c r="J19" s="333"/>
      <c r="K19" s="333"/>
      <c r="L19" s="334"/>
      <c r="M19" s="334"/>
      <c r="N19" s="334"/>
      <c r="O19" s="334"/>
      <c r="P19" s="336">
        <f t="shared" si="4"/>
        <v>0</v>
      </c>
      <c r="R19" s="85"/>
    </row>
    <row r="20" spans="1:18" s="94" customFormat="1" ht="31.5" x14ac:dyDescent="0.3">
      <c r="A20" s="335" t="s">
        <v>258</v>
      </c>
      <c r="B20" s="200">
        <v>3112</v>
      </c>
      <c r="C20" s="341">
        <v>1040</v>
      </c>
      <c r="D20" s="338" t="s">
        <v>83</v>
      </c>
      <c r="E20" s="334">
        <f t="shared" si="2"/>
        <v>55000</v>
      </c>
      <c r="F20" s="334">
        <v>55000</v>
      </c>
      <c r="G20" s="334"/>
      <c r="H20" s="334"/>
      <c r="I20" s="334"/>
      <c r="J20" s="333">
        <f>L20+O20</f>
        <v>0</v>
      </c>
      <c r="K20" s="333"/>
      <c r="L20" s="334">
        <f>SUM(M20:N20)</f>
        <v>0</v>
      </c>
      <c r="M20" s="334"/>
      <c r="N20" s="334"/>
      <c r="O20" s="334"/>
      <c r="P20" s="336">
        <f t="shared" si="4"/>
        <v>55000</v>
      </c>
      <c r="R20" s="95"/>
    </row>
    <row r="21" spans="1:18" s="94" customFormat="1" ht="47.25" x14ac:dyDescent="0.3">
      <c r="A21" s="335" t="s">
        <v>259</v>
      </c>
      <c r="B21" s="200">
        <v>3121</v>
      </c>
      <c r="C21" s="341">
        <v>1040</v>
      </c>
      <c r="D21" s="338" t="s">
        <v>109</v>
      </c>
      <c r="E21" s="334">
        <f t="shared" si="2"/>
        <v>297000</v>
      </c>
      <c r="F21" s="334">
        <f>SUM(G21:H21)+47800+32000</f>
        <v>297000</v>
      </c>
      <c r="G21" s="334">
        <v>217200</v>
      </c>
      <c r="H21" s="334"/>
      <c r="I21" s="334"/>
      <c r="J21" s="334">
        <f>L21+O21</f>
        <v>0</v>
      </c>
      <c r="K21" s="334"/>
      <c r="L21" s="334"/>
      <c r="M21" s="334"/>
      <c r="N21" s="334"/>
      <c r="O21" s="334"/>
      <c r="P21" s="336">
        <f t="shared" si="4"/>
        <v>297000</v>
      </c>
      <c r="R21" s="95"/>
    </row>
    <row r="22" spans="1:18" s="126" customFormat="1" ht="31.5" hidden="1" x14ac:dyDescent="0.25">
      <c r="A22" s="335" t="s">
        <v>243</v>
      </c>
      <c r="B22" s="200">
        <v>7310</v>
      </c>
      <c r="C22" s="201">
        <v>443</v>
      </c>
      <c r="D22" s="338" t="s">
        <v>221</v>
      </c>
      <c r="E22" s="334">
        <f t="shared" si="2"/>
        <v>0</v>
      </c>
      <c r="F22" s="334">
        <f>SUM(G22:H22)</f>
        <v>0</v>
      </c>
      <c r="G22" s="334"/>
      <c r="H22" s="334"/>
      <c r="I22" s="334"/>
      <c r="J22" s="328">
        <f>N22</f>
        <v>0</v>
      </c>
      <c r="K22" s="329"/>
      <c r="L22" s="329"/>
      <c r="M22" s="329"/>
      <c r="N22" s="329"/>
      <c r="O22" s="329">
        <f>N22</f>
        <v>0</v>
      </c>
      <c r="P22" s="336">
        <f t="shared" si="4"/>
        <v>0</v>
      </c>
      <c r="R22" s="127"/>
    </row>
    <row r="23" spans="1:18" s="94" customFormat="1" ht="18.75" hidden="1" x14ac:dyDescent="0.3">
      <c r="A23" s="335" t="s">
        <v>260</v>
      </c>
      <c r="B23" s="200">
        <v>7321</v>
      </c>
      <c r="C23" s="201">
        <v>443</v>
      </c>
      <c r="D23" s="338" t="s">
        <v>222</v>
      </c>
      <c r="E23" s="334">
        <f t="shared" si="2"/>
        <v>0</v>
      </c>
      <c r="F23" s="334">
        <f t="shared" ref="F23:F29" si="5">SUM(G23:H23)</f>
        <v>0</v>
      </c>
      <c r="G23" s="334"/>
      <c r="H23" s="334"/>
      <c r="I23" s="334"/>
      <c r="J23" s="333">
        <f t="shared" ref="J23:J29" si="6">L23+O23</f>
        <v>0</v>
      </c>
      <c r="K23" s="328"/>
      <c r="L23" s="328"/>
      <c r="M23" s="328"/>
      <c r="N23" s="328">
        <f>[1]дод.3!H14</f>
        <v>0</v>
      </c>
      <c r="O23" s="328"/>
      <c r="P23" s="336">
        <f t="shared" si="4"/>
        <v>0</v>
      </c>
      <c r="R23" s="95"/>
    </row>
    <row r="24" spans="1:18" s="94" customFormat="1" ht="18.75" hidden="1" x14ac:dyDescent="0.3">
      <c r="A24" s="335" t="s">
        <v>261</v>
      </c>
      <c r="B24" s="200">
        <v>7322</v>
      </c>
      <c r="C24" s="201">
        <v>443</v>
      </c>
      <c r="D24" s="338" t="s">
        <v>223</v>
      </c>
      <c r="E24" s="334">
        <f t="shared" si="2"/>
        <v>0</v>
      </c>
      <c r="F24" s="334">
        <f t="shared" si="5"/>
        <v>0</v>
      </c>
      <c r="G24" s="334"/>
      <c r="H24" s="334"/>
      <c r="I24" s="334"/>
      <c r="J24" s="333">
        <f t="shared" si="6"/>
        <v>0</v>
      </c>
      <c r="K24" s="328"/>
      <c r="L24" s="328"/>
      <c r="M24" s="328"/>
      <c r="N24" s="328">
        <f>[1]дод.3!H15</f>
        <v>0</v>
      </c>
      <c r="O24" s="328"/>
      <c r="P24" s="336">
        <f t="shared" si="4"/>
        <v>0</v>
      </c>
      <c r="R24" s="95"/>
    </row>
    <row r="25" spans="1:18" s="94" customFormat="1" ht="17.25" hidden="1" customHeight="1" x14ac:dyDescent="0.3">
      <c r="A25" s="335" t="s">
        <v>272</v>
      </c>
      <c r="B25" s="200">
        <v>7323</v>
      </c>
      <c r="C25" s="201">
        <v>443</v>
      </c>
      <c r="D25" s="338" t="s">
        <v>224</v>
      </c>
      <c r="E25" s="334">
        <f t="shared" si="2"/>
        <v>0</v>
      </c>
      <c r="F25" s="334">
        <f t="shared" si="5"/>
        <v>0</v>
      </c>
      <c r="G25" s="334"/>
      <c r="H25" s="334"/>
      <c r="I25" s="334"/>
      <c r="J25" s="333">
        <f t="shared" si="6"/>
        <v>0</v>
      </c>
      <c r="K25" s="328"/>
      <c r="L25" s="328"/>
      <c r="M25" s="328"/>
      <c r="N25" s="328">
        <f>[1]дод.3!H16</f>
        <v>0</v>
      </c>
      <c r="O25" s="328"/>
      <c r="P25" s="336">
        <f t="shared" si="4"/>
        <v>0</v>
      </c>
      <c r="R25" s="95"/>
    </row>
    <row r="26" spans="1:18" s="94" customFormat="1" ht="18.75" hidden="1" x14ac:dyDescent="0.3">
      <c r="A26" s="335" t="s">
        <v>245</v>
      </c>
      <c r="B26" s="200">
        <v>7324</v>
      </c>
      <c r="C26" s="201">
        <v>443</v>
      </c>
      <c r="D26" s="338" t="s">
        <v>225</v>
      </c>
      <c r="E26" s="334">
        <f t="shared" si="2"/>
        <v>0</v>
      </c>
      <c r="F26" s="334">
        <f t="shared" si="5"/>
        <v>0</v>
      </c>
      <c r="G26" s="334"/>
      <c r="H26" s="334"/>
      <c r="I26" s="334"/>
      <c r="J26" s="328">
        <f t="shared" si="6"/>
        <v>0</v>
      </c>
      <c r="K26" s="329"/>
      <c r="L26" s="329"/>
      <c r="M26" s="329"/>
      <c r="N26" s="329">
        <f>[1]дод.3!H17</f>
        <v>0</v>
      </c>
      <c r="O26" s="329"/>
      <c r="P26" s="336">
        <f t="shared" si="4"/>
        <v>0</v>
      </c>
      <c r="R26" s="95"/>
    </row>
    <row r="27" spans="1:18" s="94" customFormat="1" ht="31.5" hidden="1" x14ac:dyDescent="0.3">
      <c r="A27" s="335" t="s">
        <v>244</v>
      </c>
      <c r="B27" s="200">
        <v>7325</v>
      </c>
      <c r="C27" s="201">
        <v>443</v>
      </c>
      <c r="D27" s="338" t="s">
        <v>226</v>
      </c>
      <c r="E27" s="334">
        <f t="shared" si="2"/>
        <v>0</v>
      </c>
      <c r="F27" s="334">
        <f t="shared" si="5"/>
        <v>0</v>
      </c>
      <c r="G27" s="334"/>
      <c r="H27" s="334"/>
      <c r="I27" s="334"/>
      <c r="J27" s="328">
        <f t="shared" si="6"/>
        <v>0</v>
      </c>
      <c r="K27" s="329"/>
      <c r="L27" s="329"/>
      <c r="M27" s="329"/>
      <c r="N27" s="329">
        <f>[1]дод.3!H18</f>
        <v>0</v>
      </c>
      <c r="O27" s="329">
        <f>N27</f>
        <v>0</v>
      </c>
      <c r="P27" s="336">
        <f t="shared" si="4"/>
        <v>0</v>
      </c>
      <c r="R27" s="95"/>
    </row>
    <row r="28" spans="1:18" s="126" customFormat="1" ht="47.25" hidden="1" x14ac:dyDescent="0.25">
      <c r="A28" s="335" t="s">
        <v>246</v>
      </c>
      <c r="B28" s="200">
        <v>7330</v>
      </c>
      <c r="C28" s="201">
        <v>443</v>
      </c>
      <c r="D28" s="338" t="s">
        <v>227</v>
      </c>
      <c r="E28" s="334">
        <f t="shared" si="2"/>
        <v>0</v>
      </c>
      <c r="F28" s="334">
        <f t="shared" si="5"/>
        <v>0</v>
      </c>
      <c r="G28" s="334"/>
      <c r="H28" s="334"/>
      <c r="I28" s="334"/>
      <c r="J28" s="328">
        <f t="shared" si="6"/>
        <v>0</v>
      </c>
      <c r="K28" s="329"/>
      <c r="L28" s="329"/>
      <c r="M28" s="329"/>
      <c r="N28" s="329"/>
      <c r="O28" s="329">
        <f>N28</f>
        <v>0</v>
      </c>
      <c r="P28" s="336">
        <f t="shared" si="4"/>
        <v>0</v>
      </c>
      <c r="R28" s="127"/>
    </row>
    <row r="29" spans="1:18" s="94" customFormat="1" ht="47.25" hidden="1" x14ac:dyDescent="0.3">
      <c r="A29" s="335" t="s">
        <v>262</v>
      </c>
      <c r="B29" s="200">
        <v>7361</v>
      </c>
      <c r="C29" s="201">
        <v>490</v>
      </c>
      <c r="D29" s="338" t="s">
        <v>228</v>
      </c>
      <c r="E29" s="334">
        <f t="shared" si="2"/>
        <v>0</v>
      </c>
      <c r="F29" s="334">
        <f t="shared" si="5"/>
        <v>0</v>
      </c>
      <c r="G29" s="334"/>
      <c r="H29" s="334"/>
      <c r="I29" s="334"/>
      <c r="J29" s="337">
        <f t="shared" si="6"/>
        <v>0</v>
      </c>
      <c r="K29" s="330"/>
      <c r="L29" s="330"/>
      <c r="M29" s="330"/>
      <c r="N29" s="330"/>
      <c r="O29" s="330"/>
      <c r="P29" s="336">
        <f t="shared" si="4"/>
        <v>0</v>
      </c>
      <c r="R29" s="95"/>
    </row>
    <row r="30" spans="1:18" s="94" customFormat="1" ht="31.5" x14ac:dyDescent="0.3">
      <c r="A30" s="335" t="s">
        <v>341</v>
      </c>
      <c r="B30" s="200">
        <v>7520</v>
      </c>
      <c r="C30" s="201">
        <v>490</v>
      </c>
      <c r="D30" s="338" t="s">
        <v>342</v>
      </c>
      <c r="E30" s="334">
        <f t="shared" si="2"/>
        <v>460200</v>
      </c>
      <c r="F30" s="334">
        <f>SUM(G30:H30)+200000+240000+20200</f>
        <v>460200</v>
      </c>
      <c r="G30" s="334"/>
      <c r="H30" s="334"/>
      <c r="I30" s="334"/>
      <c r="J30" s="337"/>
      <c r="K30" s="330"/>
      <c r="L30" s="330"/>
      <c r="M30" s="330"/>
      <c r="N30" s="330"/>
      <c r="O30" s="330"/>
      <c r="P30" s="336">
        <f t="shared" si="4"/>
        <v>460200</v>
      </c>
      <c r="R30" s="95"/>
    </row>
    <row r="31" spans="1:18" s="126" customFormat="1" ht="31.5" x14ac:dyDescent="0.25">
      <c r="A31" s="335" t="s">
        <v>268</v>
      </c>
      <c r="B31" s="200">
        <v>7680</v>
      </c>
      <c r="C31" s="201">
        <v>460</v>
      </c>
      <c r="D31" s="338" t="s">
        <v>239</v>
      </c>
      <c r="E31" s="334">
        <f>F31</f>
        <v>6400</v>
      </c>
      <c r="F31" s="334">
        <v>6400</v>
      </c>
      <c r="G31" s="334"/>
      <c r="H31" s="334"/>
      <c r="I31" s="334"/>
      <c r="J31" s="328"/>
      <c r="K31" s="330"/>
      <c r="L31" s="330"/>
      <c r="M31" s="330"/>
      <c r="N31" s="330"/>
      <c r="O31" s="330"/>
      <c r="P31" s="336">
        <f t="shared" si="4"/>
        <v>6400</v>
      </c>
      <c r="R31" s="127"/>
    </row>
    <row r="32" spans="1:18" s="129" customFormat="1" ht="95.25" hidden="1" customHeight="1" x14ac:dyDescent="0.3">
      <c r="A32" s="335" t="s">
        <v>328</v>
      </c>
      <c r="B32" s="200">
        <v>7691</v>
      </c>
      <c r="C32" s="201">
        <v>490</v>
      </c>
      <c r="D32" s="338" t="s">
        <v>237</v>
      </c>
      <c r="E32" s="334">
        <f t="shared" ref="E32:E37" si="7">F32</f>
        <v>0</v>
      </c>
      <c r="F32" s="334">
        <f>SUM(G32:H32)</f>
        <v>0</v>
      </c>
      <c r="G32" s="334"/>
      <c r="H32" s="334"/>
      <c r="I32" s="334"/>
      <c r="J32" s="333">
        <f>L32+O32</f>
        <v>0</v>
      </c>
      <c r="K32" s="333"/>
      <c r="L32" s="334"/>
      <c r="M32" s="334"/>
      <c r="N32" s="334"/>
      <c r="O32" s="334"/>
      <c r="P32" s="336">
        <f t="shared" si="4"/>
        <v>0</v>
      </c>
      <c r="R32" s="103"/>
    </row>
    <row r="33" spans="1:18" s="129" customFormat="1" ht="31.5" x14ac:dyDescent="0.3">
      <c r="A33" s="335" t="s">
        <v>329</v>
      </c>
      <c r="B33" s="200">
        <v>7693</v>
      </c>
      <c r="C33" s="201">
        <v>490</v>
      </c>
      <c r="D33" s="489" t="s">
        <v>290</v>
      </c>
      <c r="E33" s="334">
        <f t="shared" si="7"/>
        <v>75000</v>
      </c>
      <c r="F33" s="334">
        <v>75000</v>
      </c>
      <c r="G33" s="334"/>
      <c r="H33" s="334"/>
      <c r="I33" s="334"/>
      <c r="J33" s="333"/>
      <c r="K33" s="333"/>
      <c r="L33" s="334"/>
      <c r="M33" s="334"/>
      <c r="N33" s="334"/>
      <c r="O33" s="334"/>
      <c r="P33" s="336">
        <f t="shared" si="4"/>
        <v>75000</v>
      </c>
      <c r="R33" s="103"/>
    </row>
    <row r="34" spans="1:18" s="129" customFormat="1" ht="47.25" x14ac:dyDescent="0.3">
      <c r="A34" s="335" t="s">
        <v>263</v>
      </c>
      <c r="B34" s="200">
        <v>8110</v>
      </c>
      <c r="C34" s="201">
        <v>320</v>
      </c>
      <c r="D34" s="338" t="s">
        <v>146</v>
      </c>
      <c r="E34" s="334">
        <f t="shared" si="7"/>
        <v>595000</v>
      </c>
      <c r="F34" s="334">
        <f>45000+550000</f>
        <v>595000</v>
      </c>
      <c r="G34" s="334"/>
      <c r="H34" s="334"/>
      <c r="I34" s="334"/>
      <c r="J34" s="333">
        <f>L34+O34</f>
        <v>0</v>
      </c>
      <c r="K34" s="333"/>
      <c r="L34" s="334">
        <f>SUM(M34:N34)</f>
        <v>0</v>
      </c>
      <c r="M34" s="334"/>
      <c r="N34" s="334"/>
      <c r="O34" s="334"/>
      <c r="P34" s="336">
        <f t="shared" si="4"/>
        <v>595000</v>
      </c>
      <c r="R34" s="103"/>
    </row>
    <row r="35" spans="1:18" s="128" customFormat="1" ht="31.5" x14ac:dyDescent="0.25">
      <c r="A35" s="335" t="s">
        <v>269</v>
      </c>
      <c r="B35" s="200">
        <v>8130</v>
      </c>
      <c r="C35" s="201">
        <v>320</v>
      </c>
      <c r="D35" s="338" t="s">
        <v>168</v>
      </c>
      <c r="E35" s="334">
        <f t="shared" si="7"/>
        <v>331300</v>
      </c>
      <c r="F35" s="334">
        <f>SUM(G35:H35)+56300+17000</f>
        <v>331300</v>
      </c>
      <c r="G35" s="334">
        <v>255700</v>
      </c>
      <c r="H35" s="334">
        <v>2300</v>
      </c>
      <c r="I35" s="334"/>
      <c r="J35" s="333"/>
      <c r="K35" s="333"/>
      <c r="L35" s="334"/>
      <c r="M35" s="334"/>
      <c r="N35" s="334"/>
      <c r="O35" s="334"/>
      <c r="P35" s="336">
        <f t="shared" si="4"/>
        <v>331300</v>
      </c>
      <c r="R35" s="85"/>
    </row>
    <row r="36" spans="1:18" s="128" customFormat="1" ht="31.5" x14ac:dyDescent="0.25">
      <c r="A36" s="335" t="s">
        <v>264</v>
      </c>
      <c r="B36" s="200">
        <v>8220</v>
      </c>
      <c r="C36" s="201">
        <v>380</v>
      </c>
      <c r="D36" s="338" t="s">
        <v>241</v>
      </c>
      <c r="E36" s="334">
        <f t="shared" si="7"/>
        <v>40000</v>
      </c>
      <c r="F36" s="334">
        <v>40000</v>
      </c>
      <c r="G36" s="334"/>
      <c r="H36" s="334"/>
      <c r="I36" s="334"/>
      <c r="J36" s="333"/>
      <c r="K36" s="333"/>
      <c r="L36" s="334"/>
      <c r="M36" s="334"/>
      <c r="N36" s="334"/>
      <c r="O36" s="334"/>
      <c r="P36" s="336">
        <f t="shared" si="4"/>
        <v>40000</v>
      </c>
      <c r="R36" s="85"/>
    </row>
    <row r="37" spans="1:18" s="128" customFormat="1" ht="22.5" customHeight="1" x14ac:dyDescent="0.25">
      <c r="A37" s="335" t="s">
        <v>265</v>
      </c>
      <c r="B37" s="200">
        <v>8230</v>
      </c>
      <c r="C37" s="201">
        <v>380</v>
      </c>
      <c r="D37" s="338" t="s">
        <v>240</v>
      </c>
      <c r="E37" s="334">
        <f t="shared" si="7"/>
        <v>72000</v>
      </c>
      <c r="F37" s="334">
        <v>72000</v>
      </c>
      <c r="G37" s="334"/>
      <c r="H37" s="334"/>
      <c r="I37" s="334"/>
      <c r="J37" s="333"/>
      <c r="K37" s="333"/>
      <c r="L37" s="334"/>
      <c r="M37" s="334"/>
      <c r="N37" s="334"/>
      <c r="O37" s="334"/>
      <c r="P37" s="336">
        <f t="shared" si="4"/>
        <v>72000</v>
      </c>
      <c r="R37" s="85"/>
    </row>
    <row r="38" spans="1:18" s="94" customFormat="1" ht="53.25" customHeight="1" x14ac:dyDescent="0.3">
      <c r="A38" s="331">
        <v>119410</v>
      </c>
      <c r="B38" s="200">
        <v>9410</v>
      </c>
      <c r="C38" s="201">
        <v>180</v>
      </c>
      <c r="D38" s="338" t="s">
        <v>233</v>
      </c>
      <c r="E38" s="332">
        <f>F38</f>
        <v>900000</v>
      </c>
      <c r="F38" s="332">
        <v>900000</v>
      </c>
      <c r="G38" s="333"/>
      <c r="H38" s="333"/>
      <c r="I38" s="333"/>
      <c r="J38" s="333"/>
      <c r="K38" s="333"/>
      <c r="L38" s="334"/>
      <c r="M38" s="333"/>
      <c r="N38" s="333"/>
      <c r="O38" s="333"/>
      <c r="P38" s="336">
        <f t="shared" si="4"/>
        <v>900000</v>
      </c>
      <c r="R38" s="95"/>
    </row>
    <row r="39" spans="1:18" s="128" customFormat="1" hidden="1" x14ac:dyDescent="0.25">
      <c r="A39" s="292"/>
      <c r="B39" s="124"/>
      <c r="C39" s="125"/>
      <c r="D39" s="491"/>
      <c r="E39" s="130"/>
      <c r="F39" s="114">
        <f>SUM(G39:H39)</f>
        <v>0</v>
      </c>
      <c r="G39" s="123"/>
      <c r="H39" s="123"/>
      <c r="I39" s="123"/>
      <c r="J39" s="123"/>
      <c r="K39" s="123"/>
      <c r="L39" s="114"/>
      <c r="M39" s="123"/>
      <c r="N39" s="123"/>
      <c r="O39" s="123"/>
      <c r="P39" s="291">
        <f t="shared" si="4"/>
        <v>0</v>
      </c>
      <c r="R39" s="85"/>
    </row>
    <row r="40" spans="1:18" s="128" customFormat="1" hidden="1" x14ac:dyDescent="0.25">
      <c r="A40" s="293"/>
      <c r="B40" s="92"/>
      <c r="C40" s="93"/>
      <c r="D40" s="492"/>
      <c r="E40" s="116"/>
      <c r="F40" s="114">
        <f>SUM(G40:H40)</f>
        <v>0</v>
      </c>
      <c r="G40" s="115"/>
      <c r="H40" s="115"/>
      <c r="I40" s="115"/>
      <c r="J40" s="115"/>
      <c r="K40" s="115"/>
      <c r="L40" s="99"/>
      <c r="M40" s="115"/>
      <c r="N40" s="115"/>
      <c r="O40" s="115"/>
      <c r="P40" s="291">
        <f t="shared" si="4"/>
        <v>0</v>
      </c>
      <c r="R40" s="85"/>
    </row>
    <row r="41" spans="1:18" s="343" customFormat="1" ht="18.75" x14ac:dyDescent="0.2">
      <c r="A41" s="294" t="s">
        <v>100</v>
      </c>
      <c r="B41" s="191"/>
      <c r="C41" s="191"/>
      <c r="D41" s="493" t="s">
        <v>85</v>
      </c>
      <c r="E41" s="309">
        <f>SUM(E42)</f>
        <v>47955500</v>
      </c>
      <c r="F41" s="309">
        <f t="shared" ref="F41:O41" si="8">SUM(F42)</f>
        <v>47955500</v>
      </c>
      <c r="G41" s="309">
        <f t="shared" si="8"/>
        <v>31935500</v>
      </c>
      <c r="H41" s="309">
        <f t="shared" si="8"/>
        <v>6251700</v>
      </c>
      <c r="I41" s="309">
        <f t="shared" si="8"/>
        <v>0</v>
      </c>
      <c r="J41" s="309">
        <f t="shared" si="8"/>
        <v>2603200</v>
      </c>
      <c r="K41" s="309">
        <f t="shared" si="8"/>
        <v>132800</v>
      </c>
      <c r="L41" s="309">
        <f t="shared" si="8"/>
        <v>2317400</v>
      </c>
      <c r="M41" s="309">
        <f t="shared" si="8"/>
        <v>137200</v>
      </c>
      <c r="N41" s="309">
        <f t="shared" si="8"/>
        <v>0</v>
      </c>
      <c r="O41" s="309">
        <f t="shared" si="8"/>
        <v>285800</v>
      </c>
      <c r="P41" s="342">
        <f t="shared" si="4"/>
        <v>50558700</v>
      </c>
      <c r="R41" s="344"/>
    </row>
    <row r="42" spans="1:18" s="310" customFormat="1" x14ac:dyDescent="0.2">
      <c r="A42" s="294" t="s">
        <v>101</v>
      </c>
      <c r="B42" s="191"/>
      <c r="C42" s="191"/>
      <c r="D42" s="493" t="s">
        <v>85</v>
      </c>
      <c r="E42" s="309">
        <f t="shared" ref="E42:P42" si="9">SUM(E43:E51)</f>
        <v>47955500</v>
      </c>
      <c r="F42" s="309">
        <f t="shared" si="9"/>
        <v>47955500</v>
      </c>
      <c r="G42" s="309">
        <f t="shared" si="9"/>
        <v>31935500</v>
      </c>
      <c r="H42" s="309">
        <f t="shared" si="9"/>
        <v>6251700</v>
      </c>
      <c r="I42" s="309">
        <f t="shared" si="9"/>
        <v>0</v>
      </c>
      <c r="J42" s="309">
        <f t="shared" si="9"/>
        <v>2603200</v>
      </c>
      <c r="K42" s="309">
        <f t="shared" si="9"/>
        <v>132800</v>
      </c>
      <c r="L42" s="309">
        <f t="shared" si="9"/>
        <v>2317400</v>
      </c>
      <c r="M42" s="309">
        <f t="shared" si="9"/>
        <v>137200</v>
      </c>
      <c r="N42" s="309">
        <f t="shared" si="9"/>
        <v>0</v>
      </c>
      <c r="O42" s="309">
        <f t="shared" si="9"/>
        <v>285800</v>
      </c>
      <c r="P42" s="342">
        <f t="shared" si="9"/>
        <v>50558700</v>
      </c>
      <c r="Q42" s="345"/>
      <c r="R42" s="346"/>
    </row>
    <row r="43" spans="1:18" s="128" customFormat="1" ht="47.25" x14ac:dyDescent="0.25">
      <c r="A43" s="335" t="s">
        <v>114</v>
      </c>
      <c r="B43" s="178" t="s">
        <v>108</v>
      </c>
      <c r="C43" s="178" t="s">
        <v>25</v>
      </c>
      <c r="D43" s="338" t="s">
        <v>210</v>
      </c>
      <c r="E43" s="334">
        <f t="shared" ref="E43:E51" si="10">F43</f>
        <v>470800</v>
      </c>
      <c r="F43" s="334">
        <f>SUM(G43:H43)+78700+24200</f>
        <v>470800</v>
      </c>
      <c r="G43" s="334">
        <v>357400</v>
      </c>
      <c r="H43" s="334">
        <v>10500</v>
      </c>
      <c r="I43" s="334"/>
      <c r="J43" s="334">
        <f>L43</f>
        <v>0</v>
      </c>
      <c r="K43" s="334"/>
      <c r="L43" s="334">
        <f>SUM(M43:N43)</f>
        <v>0</v>
      </c>
      <c r="M43" s="334"/>
      <c r="N43" s="334"/>
      <c r="O43" s="334"/>
      <c r="P43" s="336">
        <f t="shared" si="4"/>
        <v>470800</v>
      </c>
      <c r="Q43" s="126"/>
      <c r="R43" s="127"/>
    </row>
    <row r="44" spans="1:18" s="128" customFormat="1" x14ac:dyDescent="0.25">
      <c r="A44" s="319" t="s">
        <v>102</v>
      </c>
      <c r="B44" s="203">
        <v>1010</v>
      </c>
      <c r="C44" s="201">
        <v>910</v>
      </c>
      <c r="D44" s="338" t="s">
        <v>103</v>
      </c>
      <c r="E44" s="334">
        <f t="shared" si="10"/>
        <v>14557100</v>
      </c>
      <c r="F44" s="334">
        <f>SUM(G44:H44)+1969400+1180700</f>
        <v>14557100</v>
      </c>
      <c r="G44" s="334">
        <v>8952000</v>
      </c>
      <c r="H44" s="334">
        <v>2455000</v>
      </c>
      <c r="I44" s="334"/>
      <c r="J44" s="333">
        <f>L44+O44</f>
        <v>1211700</v>
      </c>
      <c r="K44" s="334">
        <v>10700</v>
      </c>
      <c r="L44" s="334">
        <f>SUM(M44:N44)+1200000+1000</f>
        <v>1201000</v>
      </c>
      <c r="M44" s="334"/>
      <c r="N44" s="334"/>
      <c r="O44" s="334">
        <v>10700</v>
      </c>
      <c r="P44" s="336">
        <f t="shared" si="4"/>
        <v>15768800</v>
      </c>
      <c r="Q44" s="126"/>
      <c r="R44" s="127"/>
    </row>
    <row r="45" spans="1:18" s="128" customFormat="1" ht="63" x14ac:dyDescent="0.25">
      <c r="A45" s="319" t="s">
        <v>104</v>
      </c>
      <c r="B45" s="200">
        <v>1020</v>
      </c>
      <c r="C45" s="201">
        <v>921</v>
      </c>
      <c r="D45" s="338" t="s">
        <v>369</v>
      </c>
      <c r="E45" s="334">
        <f t="shared" si="10"/>
        <v>29031400</v>
      </c>
      <c r="F45" s="334">
        <f>SUM(G45:H45)+4380700+1200900</f>
        <v>29031400</v>
      </c>
      <c r="G45" s="334">
        <v>19912400</v>
      </c>
      <c r="H45" s="334">
        <v>3537400</v>
      </c>
      <c r="I45" s="334"/>
      <c r="J45" s="333">
        <f>L45+O45</f>
        <v>1384500</v>
      </c>
      <c r="K45" s="334">
        <v>122100</v>
      </c>
      <c r="L45" s="334">
        <f>SUM(M45:N45)+30200+500000+290000+155000</f>
        <v>1112400</v>
      </c>
      <c r="M45" s="334">
        <v>137200</v>
      </c>
      <c r="N45" s="334"/>
      <c r="O45" s="334">
        <f>150000+122100</f>
        <v>272100</v>
      </c>
      <c r="P45" s="336">
        <f t="shared" si="4"/>
        <v>30415900</v>
      </c>
      <c r="Q45" s="126"/>
      <c r="R45" s="127"/>
    </row>
    <row r="46" spans="1:18" s="128" customFormat="1" ht="47.25" x14ac:dyDescent="0.25">
      <c r="A46" s="319" t="s">
        <v>105</v>
      </c>
      <c r="B46" s="200">
        <v>1090</v>
      </c>
      <c r="C46" s="201">
        <v>960</v>
      </c>
      <c r="D46" s="338" t="s">
        <v>370</v>
      </c>
      <c r="E46" s="334">
        <f t="shared" si="10"/>
        <v>1649500</v>
      </c>
      <c r="F46" s="334">
        <f>SUM(G46:H46)+266300+47500</f>
        <v>1649500</v>
      </c>
      <c r="G46" s="334">
        <v>1210700</v>
      </c>
      <c r="H46" s="334">
        <v>125000</v>
      </c>
      <c r="I46" s="334"/>
      <c r="J46" s="334">
        <f>L46+O46</f>
        <v>0</v>
      </c>
      <c r="K46" s="334"/>
      <c r="L46" s="334">
        <f>SUM(M46:N46)</f>
        <v>0</v>
      </c>
      <c r="M46" s="334"/>
      <c r="N46" s="334"/>
      <c r="O46" s="334"/>
      <c r="P46" s="336">
        <f t="shared" si="4"/>
        <v>1649500</v>
      </c>
      <c r="Q46" s="126"/>
      <c r="R46" s="127"/>
    </row>
    <row r="47" spans="1:18" s="128" customFormat="1" ht="31.5" x14ac:dyDescent="0.25">
      <c r="A47" s="319" t="s">
        <v>106</v>
      </c>
      <c r="B47" s="200">
        <v>1150</v>
      </c>
      <c r="C47" s="201">
        <v>990</v>
      </c>
      <c r="D47" s="338" t="s">
        <v>371</v>
      </c>
      <c r="E47" s="334">
        <f t="shared" si="10"/>
        <v>834900</v>
      </c>
      <c r="F47" s="334">
        <f>SUM(G47:H47)+132400+40200</f>
        <v>834900</v>
      </c>
      <c r="G47" s="334">
        <v>601600</v>
      </c>
      <c r="H47" s="334">
        <v>60700</v>
      </c>
      <c r="I47" s="334"/>
      <c r="J47" s="333">
        <f>L47+O47</f>
        <v>7000</v>
      </c>
      <c r="K47" s="334"/>
      <c r="L47" s="334">
        <f>SUM(M47:N47)+4000</f>
        <v>4000</v>
      </c>
      <c r="M47" s="334"/>
      <c r="N47" s="334"/>
      <c r="O47" s="334">
        <v>3000</v>
      </c>
      <c r="P47" s="336">
        <f t="shared" si="4"/>
        <v>841900</v>
      </c>
      <c r="Q47" s="126"/>
      <c r="R47" s="127"/>
    </row>
    <row r="48" spans="1:18" s="157" customFormat="1" ht="31.5" x14ac:dyDescent="0.25">
      <c r="A48" s="319" t="s">
        <v>139</v>
      </c>
      <c r="B48" s="200">
        <v>1161</v>
      </c>
      <c r="C48" s="201">
        <v>990</v>
      </c>
      <c r="D48" s="338" t="s">
        <v>140</v>
      </c>
      <c r="E48" s="334">
        <f t="shared" si="10"/>
        <v>1198400</v>
      </c>
      <c r="F48" s="334">
        <f>SUM(G48:H48)+198300+35600</f>
        <v>1198400</v>
      </c>
      <c r="G48" s="334">
        <v>901400</v>
      </c>
      <c r="H48" s="334">
        <v>63100</v>
      </c>
      <c r="I48" s="334"/>
      <c r="J48" s="334">
        <f>L48</f>
        <v>0</v>
      </c>
      <c r="K48" s="334"/>
      <c r="L48" s="334">
        <f>SUM(M48:N48)</f>
        <v>0</v>
      </c>
      <c r="M48" s="334"/>
      <c r="N48" s="334"/>
      <c r="O48" s="334"/>
      <c r="P48" s="336">
        <f t="shared" si="4"/>
        <v>1198400</v>
      </c>
      <c r="Q48" s="347"/>
      <c r="R48" s="348"/>
    </row>
    <row r="49" spans="1:19" s="128" customFormat="1" x14ac:dyDescent="0.25">
      <c r="A49" s="319" t="s">
        <v>141</v>
      </c>
      <c r="B49" s="200">
        <v>1162</v>
      </c>
      <c r="C49" s="201">
        <v>990</v>
      </c>
      <c r="D49" s="338" t="s">
        <v>147</v>
      </c>
      <c r="E49" s="334">
        <f t="shared" si="10"/>
        <v>125000</v>
      </c>
      <c r="F49" s="334">
        <f>SUM(G49:H49)+125000</f>
        <v>125000</v>
      </c>
      <c r="G49" s="334"/>
      <c r="H49" s="334"/>
      <c r="I49" s="334"/>
      <c r="J49" s="334"/>
      <c r="K49" s="334"/>
      <c r="L49" s="334"/>
      <c r="M49" s="334"/>
      <c r="N49" s="334"/>
      <c r="O49" s="334"/>
      <c r="P49" s="336">
        <f t="shared" si="4"/>
        <v>125000</v>
      </c>
      <c r="Q49" s="126"/>
      <c r="R49" s="127"/>
    </row>
    <row r="50" spans="1:19" s="128" customFormat="1" x14ac:dyDescent="0.25">
      <c r="A50" s="335" t="s">
        <v>169</v>
      </c>
      <c r="B50" s="200">
        <v>3123</v>
      </c>
      <c r="C50" s="341">
        <v>1040</v>
      </c>
      <c r="D50" s="338" t="s">
        <v>340</v>
      </c>
      <c r="E50" s="334">
        <f>F50</f>
        <v>4000</v>
      </c>
      <c r="F50" s="334">
        <f>SUM(G50:H50)+4000</f>
        <v>4000</v>
      </c>
      <c r="G50" s="334"/>
      <c r="H50" s="334"/>
      <c r="I50" s="334"/>
      <c r="J50" s="349"/>
      <c r="K50" s="349"/>
      <c r="L50" s="349"/>
      <c r="M50" s="349"/>
      <c r="N50" s="349"/>
      <c r="O50" s="349"/>
      <c r="P50" s="336">
        <f>E50+J50</f>
        <v>4000</v>
      </c>
      <c r="Q50" s="126"/>
      <c r="R50" s="127"/>
    </row>
    <row r="51" spans="1:19" s="94" customFormat="1" ht="31.5" x14ac:dyDescent="0.3">
      <c r="A51" s="335" t="s">
        <v>343</v>
      </c>
      <c r="B51" s="200">
        <v>7520</v>
      </c>
      <c r="C51" s="201">
        <v>490</v>
      </c>
      <c r="D51" s="338" t="s">
        <v>342</v>
      </c>
      <c r="E51" s="334">
        <f t="shared" si="10"/>
        <v>84400</v>
      </c>
      <c r="F51" s="334">
        <f>SUM(G51:H51)+84400</f>
        <v>84400</v>
      </c>
      <c r="G51" s="334"/>
      <c r="H51" s="334"/>
      <c r="I51" s="334"/>
      <c r="J51" s="337"/>
      <c r="K51" s="330"/>
      <c r="L51" s="330"/>
      <c r="M51" s="330"/>
      <c r="N51" s="330"/>
      <c r="O51" s="330"/>
      <c r="P51" s="336">
        <f>E51+J51</f>
        <v>84400</v>
      </c>
      <c r="R51" s="95"/>
    </row>
    <row r="52" spans="1:19" s="361" customFormat="1" ht="31.5" customHeight="1" x14ac:dyDescent="0.3">
      <c r="A52" s="294" t="s">
        <v>95</v>
      </c>
      <c r="B52" s="191"/>
      <c r="C52" s="191"/>
      <c r="D52" s="485" t="s">
        <v>86</v>
      </c>
      <c r="E52" s="209">
        <f>SUM(E53)</f>
        <v>6187300</v>
      </c>
      <c r="F52" s="209">
        <f t="shared" ref="F52:O52" si="11">SUM(F53)</f>
        <v>6187300</v>
      </c>
      <c r="G52" s="209">
        <f t="shared" si="11"/>
        <v>4203700</v>
      </c>
      <c r="H52" s="209">
        <f t="shared" si="11"/>
        <v>191200</v>
      </c>
      <c r="I52" s="209">
        <f t="shared" si="11"/>
        <v>0</v>
      </c>
      <c r="J52" s="209">
        <f t="shared" si="11"/>
        <v>60000</v>
      </c>
      <c r="K52" s="209">
        <f t="shared" si="11"/>
        <v>0</v>
      </c>
      <c r="L52" s="209">
        <f t="shared" si="11"/>
        <v>60000</v>
      </c>
      <c r="M52" s="209">
        <f t="shared" si="11"/>
        <v>7000</v>
      </c>
      <c r="N52" s="209">
        <f t="shared" si="11"/>
        <v>0</v>
      </c>
      <c r="O52" s="209">
        <f t="shared" si="11"/>
        <v>0</v>
      </c>
      <c r="P52" s="350">
        <f t="shared" si="4"/>
        <v>6247300</v>
      </c>
      <c r="R52" s="362"/>
    </row>
    <row r="53" spans="1:19" s="220" customFormat="1" ht="33.75" customHeight="1" x14ac:dyDescent="0.25">
      <c r="A53" s="294" t="s">
        <v>96</v>
      </c>
      <c r="B53" s="191"/>
      <c r="C53" s="191"/>
      <c r="D53" s="485" t="s">
        <v>86</v>
      </c>
      <c r="E53" s="209">
        <f>SUM(E54:E61)</f>
        <v>6187300</v>
      </c>
      <c r="F53" s="209">
        <f t="shared" ref="F53:P53" si="12">SUM(F54:F61)</f>
        <v>6187300</v>
      </c>
      <c r="G53" s="209">
        <f t="shared" si="12"/>
        <v>4203700</v>
      </c>
      <c r="H53" s="209">
        <f t="shared" si="12"/>
        <v>191200</v>
      </c>
      <c r="I53" s="209">
        <f t="shared" si="12"/>
        <v>0</v>
      </c>
      <c r="J53" s="209">
        <f t="shared" si="12"/>
        <v>60000</v>
      </c>
      <c r="K53" s="209">
        <f t="shared" si="12"/>
        <v>0</v>
      </c>
      <c r="L53" s="209">
        <f t="shared" si="12"/>
        <v>60000</v>
      </c>
      <c r="M53" s="209">
        <f t="shared" si="12"/>
        <v>7000</v>
      </c>
      <c r="N53" s="209">
        <f t="shared" si="12"/>
        <v>0</v>
      </c>
      <c r="O53" s="209">
        <f t="shared" si="12"/>
        <v>0</v>
      </c>
      <c r="P53" s="209">
        <f t="shared" si="12"/>
        <v>6247300</v>
      </c>
    </row>
    <row r="54" spans="1:19" s="122" customFormat="1" ht="47.25" x14ac:dyDescent="0.25">
      <c r="A54" s="335" t="s">
        <v>115</v>
      </c>
      <c r="B54" s="178" t="s">
        <v>108</v>
      </c>
      <c r="C54" s="178" t="s">
        <v>25</v>
      </c>
      <c r="D54" s="338" t="s">
        <v>210</v>
      </c>
      <c r="E54" s="334">
        <f t="shared" ref="E54:E61" si="13">F54</f>
        <v>2544700</v>
      </c>
      <c r="F54" s="334">
        <f>SUM(G54:H54)+437900+70000</f>
        <v>2544700</v>
      </c>
      <c r="G54" s="334">
        <v>1990600</v>
      </c>
      <c r="H54" s="334">
        <v>46200</v>
      </c>
      <c r="I54" s="334"/>
      <c r="J54" s="334">
        <f t="shared" ref="J54:J59" si="14">L54+O54</f>
        <v>0</v>
      </c>
      <c r="K54" s="334"/>
      <c r="L54" s="334">
        <f t="shared" ref="L54:L60" si="15">SUM(M54:N54)</f>
        <v>0</v>
      </c>
      <c r="M54" s="334"/>
      <c r="N54" s="334"/>
      <c r="O54" s="334"/>
      <c r="P54" s="336">
        <f t="shared" si="4"/>
        <v>2544700</v>
      </c>
      <c r="S54" s="131"/>
    </row>
    <row r="55" spans="1:19" s="128" customFormat="1" ht="31.5" x14ac:dyDescent="0.25">
      <c r="A55" s="319" t="s">
        <v>291</v>
      </c>
      <c r="B55" s="200">
        <v>3031</v>
      </c>
      <c r="C55" s="351">
        <v>1030</v>
      </c>
      <c r="D55" s="338" t="s">
        <v>292</v>
      </c>
      <c r="E55" s="334">
        <f t="shared" si="13"/>
        <v>50000</v>
      </c>
      <c r="F55" s="334">
        <v>50000</v>
      </c>
      <c r="G55" s="334"/>
      <c r="H55" s="334"/>
      <c r="I55" s="334"/>
      <c r="J55" s="334">
        <f t="shared" si="14"/>
        <v>0</v>
      </c>
      <c r="K55" s="334"/>
      <c r="L55" s="334">
        <f t="shared" si="15"/>
        <v>0</v>
      </c>
      <c r="M55" s="334"/>
      <c r="N55" s="334"/>
      <c r="O55" s="334"/>
      <c r="P55" s="336">
        <f>E55+J55</f>
        <v>50000</v>
      </c>
      <c r="R55" s="85"/>
    </row>
    <row r="56" spans="1:19" s="128" customFormat="1" ht="31.5" x14ac:dyDescent="0.25">
      <c r="A56" s="319" t="s">
        <v>97</v>
      </c>
      <c r="B56" s="200">
        <v>3032</v>
      </c>
      <c r="C56" s="351">
        <v>1070</v>
      </c>
      <c r="D56" s="338" t="s">
        <v>98</v>
      </c>
      <c r="E56" s="334">
        <f t="shared" si="13"/>
        <v>10000</v>
      </c>
      <c r="F56" s="334">
        <v>10000</v>
      </c>
      <c r="G56" s="334"/>
      <c r="H56" s="334"/>
      <c r="I56" s="334"/>
      <c r="J56" s="334">
        <f t="shared" si="14"/>
        <v>0</v>
      </c>
      <c r="K56" s="334"/>
      <c r="L56" s="334">
        <f t="shared" si="15"/>
        <v>0</v>
      </c>
      <c r="M56" s="334"/>
      <c r="N56" s="334"/>
      <c r="O56" s="334"/>
      <c r="P56" s="336">
        <f t="shared" si="4"/>
        <v>10000</v>
      </c>
      <c r="R56" s="85"/>
    </row>
    <row r="57" spans="1:19" s="94" customFormat="1" ht="63" x14ac:dyDescent="0.3">
      <c r="A57" s="335" t="s">
        <v>137</v>
      </c>
      <c r="B57" s="200">
        <v>3104</v>
      </c>
      <c r="C57" s="201">
        <v>1020</v>
      </c>
      <c r="D57" s="338" t="s">
        <v>84</v>
      </c>
      <c r="E57" s="334">
        <f t="shared" si="13"/>
        <v>2948400</v>
      </c>
      <c r="F57" s="334">
        <f>SUM(G57:H57)+486900+103400</f>
        <v>2948400</v>
      </c>
      <c r="G57" s="334">
        <v>2213100</v>
      </c>
      <c r="H57" s="334">
        <v>145000</v>
      </c>
      <c r="I57" s="334"/>
      <c r="J57" s="333">
        <f t="shared" si="14"/>
        <v>60000</v>
      </c>
      <c r="K57" s="333"/>
      <c r="L57" s="334">
        <f>SUM(M57:N57)+1540+1460+50000</f>
        <v>60000</v>
      </c>
      <c r="M57" s="334">
        <v>7000</v>
      </c>
      <c r="N57" s="334"/>
      <c r="O57" s="334"/>
      <c r="P57" s="336">
        <f t="shared" ref="P57:P100" si="16">E57+J57</f>
        <v>3008400</v>
      </c>
      <c r="R57" s="95"/>
    </row>
    <row r="58" spans="1:19" s="94" customFormat="1" ht="94.5" x14ac:dyDescent="0.3">
      <c r="A58" s="319" t="s">
        <v>99</v>
      </c>
      <c r="B58" s="200">
        <v>3160</v>
      </c>
      <c r="C58" s="351">
        <v>1010</v>
      </c>
      <c r="D58" s="338" t="s">
        <v>148</v>
      </c>
      <c r="E58" s="334">
        <f t="shared" si="13"/>
        <v>27600</v>
      </c>
      <c r="F58" s="334">
        <v>27600</v>
      </c>
      <c r="G58" s="334"/>
      <c r="H58" s="334"/>
      <c r="I58" s="334"/>
      <c r="J58" s="334">
        <f t="shared" si="14"/>
        <v>0</v>
      </c>
      <c r="K58" s="334"/>
      <c r="L58" s="334">
        <f t="shared" si="15"/>
        <v>0</v>
      </c>
      <c r="M58" s="334"/>
      <c r="N58" s="334"/>
      <c r="O58" s="334"/>
      <c r="P58" s="336">
        <f t="shared" si="16"/>
        <v>27600</v>
      </c>
      <c r="R58" s="95"/>
    </row>
    <row r="59" spans="1:19" s="94" customFormat="1" ht="94.5" hidden="1" x14ac:dyDescent="0.3">
      <c r="A59" s="319" t="s">
        <v>149</v>
      </c>
      <c r="B59" s="200">
        <v>3180</v>
      </c>
      <c r="C59" s="351">
        <v>1060</v>
      </c>
      <c r="D59" s="338" t="s">
        <v>150</v>
      </c>
      <c r="E59" s="334">
        <f t="shared" si="13"/>
        <v>0</v>
      </c>
      <c r="F59" s="334"/>
      <c r="G59" s="334"/>
      <c r="H59" s="334"/>
      <c r="I59" s="334"/>
      <c r="J59" s="334">
        <f t="shared" si="14"/>
        <v>0</v>
      </c>
      <c r="K59" s="334"/>
      <c r="L59" s="334">
        <f t="shared" si="15"/>
        <v>0</v>
      </c>
      <c r="M59" s="334"/>
      <c r="N59" s="334"/>
      <c r="O59" s="334"/>
      <c r="P59" s="336">
        <f t="shared" si="16"/>
        <v>0</v>
      </c>
      <c r="R59" s="95"/>
    </row>
    <row r="60" spans="1:19" s="94" customFormat="1" ht="32.25" customHeight="1" x14ac:dyDescent="0.3">
      <c r="A60" s="335" t="s">
        <v>151</v>
      </c>
      <c r="B60" s="200">
        <v>3242</v>
      </c>
      <c r="C60" s="351">
        <v>1090</v>
      </c>
      <c r="D60" s="338" t="s">
        <v>152</v>
      </c>
      <c r="E60" s="334">
        <f t="shared" si="13"/>
        <v>550000</v>
      </c>
      <c r="F60" s="334">
        <v>550000</v>
      </c>
      <c r="G60" s="334"/>
      <c r="H60" s="334"/>
      <c r="I60" s="334"/>
      <c r="J60" s="334"/>
      <c r="K60" s="334"/>
      <c r="L60" s="334">
        <f t="shared" si="15"/>
        <v>0</v>
      </c>
      <c r="M60" s="334"/>
      <c r="N60" s="334"/>
      <c r="O60" s="334"/>
      <c r="P60" s="336">
        <f t="shared" si="16"/>
        <v>550000</v>
      </c>
      <c r="R60" s="95"/>
    </row>
    <row r="61" spans="1:19" s="94" customFormat="1" ht="31.5" x14ac:dyDescent="0.3">
      <c r="A61" s="335" t="s">
        <v>344</v>
      </c>
      <c r="B61" s="200">
        <v>7520</v>
      </c>
      <c r="C61" s="201">
        <v>490</v>
      </c>
      <c r="D61" s="338" t="s">
        <v>342</v>
      </c>
      <c r="E61" s="334">
        <f t="shared" si="13"/>
        <v>56600</v>
      </c>
      <c r="F61" s="334">
        <f>SUM(G61:H61)+30000+26600</f>
        <v>56600</v>
      </c>
      <c r="G61" s="334"/>
      <c r="H61" s="334"/>
      <c r="I61" s="334"/>
      <c r="J61" s="337"/>
      <c r="K61" s="330"/>
      <c r="L61" s="330"/>
      <c r="M61" s="330"/>
      <c r="N61" s="330"/>
      <c r="O61" s="330"/>
      <c r="P61" s="336">
        <f>E61+J61</f>
        <v>56600</v>
      </c>
      <c r="R61" s="95"/>
    </row>
    <row r="62" spans="1:19" s="361" customFormat="1" ht="18.75" x14ac:dyDescent="0.3">
      <c r="A62" s="295">
        <v>1000000</v>
      </c>
      <c r="B62" s="191"/>
      <c r="C62" s="191"/>
      <c r="D62" s="494" t="s">
        <v>251</v>
      </c>
      <c r="E62" s="209">
        <f>SUM(E63)</f>
        <v>5057200</v>
      </c>
      <c r="F62" s="209">
        <f t="shared" ref="F62:O62" si="17">SUM(F63)</f>
        <v>5057200</v>
      </c>
      <c r="G62" s="209">
        <f t="shared" si="17"/>
        <v>3450100</v>
      </c>
      <c r="H62" s="209">
        <f t="shared" si="17"/>
        <v>529200</v>
      </c>
      <c r="I62" s="209">
        <f t="shared" si="17"/>
        <v>0</v>
      </c>
      <c r="J62" s="209">
        <f t="shared" si="17"/>
        <v>162800</v>
      </c>
      <c r="K62" s="209">
        <f t="shared" si="17"/>
        <v>0</v>
      </c>
      <c r="L62" s="209">
        <f t="shared" si="17"/>
        <v>162800</v>
      </c>
      <c r="M62" s="209">
        <f t="shared" si="17"/>
        <v>113500</v>
      </c>
      <c r="N62" s="209">
        <f t="shared" si="17"/>
        <v>9000</v>
      </c>
      <c r="O62" s="209">
        <f t="shared" si="17"/>
        <v>0</v>
      </c>
      <c r="P62" s="350">
        <f t="shared" si="16"/>
        <v>5220000</v>
      </c>
      <c r="R62" s="362"/>
    </row>
    <row r="63" spans="1:19" s="361" customFormat="1" ht="18.75" x14ac:dyDescent="0.3">
      <c r="A63" s="295">
        <v>1010000</v>
      </c>
      <c r="B63" s="191"/>
      <c r="C63" s="191"/>
      <c r="D63" s="494" t="s">
        <v>251</v>
      </c>
      <c r="E63" s="209">
        <f>SUM(E64:E71)</f>
        <v>5057200</v>
      </c>
      <c r="F63" s="209">
        <f t="shared" ref="F63:P63" si="18">SUM(F64:F71)</f>
        <v>5057200</v>
      </c>
      <c r="G63" s="209">
        <f t="shared" si="18"/>
        <v>3450100</v>
      </c>
      <c r="H63" s="209">
        <f t="shared" si="18"/>
        <v>529200</v>
      </c>
      <c r="I63" s="209">
        <f t="shared" si="18"/>
        <v>0</v>
      </c>
      <c r="J63" s="209">
        <f t="shared" si="18"/>
        <v>162800</v>
      </c>
      <c r="K63" s="209">
        <f t="shared" si="18"/>
        <v>0</v>
      </c>
      <c r="L63" s="209">
        <f t="shared" si="18"/>
        <v>162800</v>
      </c>
      <c r="M63" s="209">
        <f t="shared" si="18"/>
        <v>113500</v>
      </c>
      <c r="N63" s="209">
        <f t="shared" si="18"/>
        <v>9000</v>
      </c>
      <c r="O63" s="209">
        <f t="shared" si="18"/>
        <v>0</v>
      </c>
      <c r="P63" s="209">
        <f t="shared" si="18"/>
        <v>5220000</v>
      </c>
      <c r="R63" s="362"/>
    </row>
    <row r="64" spans="1:19" s="94" customFormat="1" ht="47.25" x14ac:dyDescent="0.3">
      <c r="A64" s="335" t="s">
        <v>116</v>
      </c>
      <c r="B64" s="178" t="s">
        <v>108</v>
      </c>
      <c r="C64" s="178" t="s">
        <v>25</v>
      </c>
      <c r="D64" s="338" t="s">
        <v>210</v>
      </c>
      <c r="E64" s="334">
        <f>F64</f>
        <v>477300</v>
      </c>
      <c r="F64" s="334">
        <f>SUM(G64:H64)+83700+13300</f>
        <v>477300</v>
      </c>
      <c r="G64" s="334">
        <v>380300</v>
      </c>
      <c r="H64" s="334"/>
      <c r="I64" s="334"/>
      <c r="J64" s="334">
        <f>L64</f>
        <v>0</v>
      </c>
      <c r="K64" s="334"/>
      <c r="L64" s="334">
        <f>SUM(M64:N64)</f>
        <v>0</v>
      </c>
      <c r="M64" s="334"/>
      <c r="N64" s="334"/>
      <c r="O64" s="334"/>
      <c r="P64" s="336">
        <f t="shared" si="16"/>
        <v>477300</v>
      </c>
      <c r="R64" s="95"/>
    </row>
    <row r="65" spans="1:255" s="94" customFormat="1" ht="31.5" x14ac:dyDescent="0.3">
      <c r="A65" s="358">
        <v>1011100</v>
      </c>
      <c r="B65" s="200">
        <v>1100</v>
      </c>
      <c r="C65" s="201">
        <v>960</v>
      </c>
      <c r="D65" s="338" t="s">
        <v>372</v>
      </c>
      <c r="E65" s="334">
        <f>SUM(F65)</f>
        <v>2793500</v>
      </c>
      <c r="F65" s="334">
        <f>SUM(G65+H65)+410200+96500</f>
        <v>2793500</v>
      </c>
      <c r="G65" s="334">
        <v>1864800</v>
      </c>
      <c r="H65" s="334">
        <v>422000</v>
      </c>
      <c r="I65" s="334"/>
      <c r="J65" s="333">
        <f>L65+O65</f>
        <v>129800</v>
      </c>
      <c r="K65" s="334"/>
      <c r="L65" s="334">
        <f>SUM(M65:N65)+28600</f>
        <v>129800</v>
      </c>
      <c r="M65" s="334">
        <v>101200</v>
      </c>
      <c r="N65" s="334"/>
      <c r="O65" s="334"/>
      <c r="P65" s="336">
        <f t="shared" si="16"/>
        <v>2923300</v>
      </c>
      <c r="R65" s="95"/>
    </row>
    <row r="66" spans="1:255" s="94" customFormat="1" ht="22.5" customHeight="1" x14ac:dyDescent="0.3">
      <c r="A66" s="335" t="s">
        <v>293</v>
      </c>
      <c r="B66" s="200">
        <v>3210</v>
      </c>
      <c r="C66" s="341">
        <v>1050</v>
      </c>
      <c r="D66" s="338" t="s">
        <v>3</v>
      </c>
      <c r="E66" s="334">
        <f>F66</f>
        <v>15000</v>
      </c>
      <c r="F66" s="334">
        <f>SUM(G66:H66)+2700</f>
        <v>15000</v>
      </c>
      <c r="G66" s="334">
        <v>12300</v>
      </c>
      <c r="H66" s="334"/>
      <c r="I66" s="334"/>
      <c r="J66" s="333">
        <f>L66+O66</f>
        <v>15000</v>
      </c>
      <c r="K66" s="334"/>
      <c r="L66" s="334">
        <f>SUM(M66:N66)+2700</f>
        <v>15000</v>
      </c>
      <c r="M66" s="334">
        <v>12300</v>
      </c>
      <c r="N66" s="334"/>
      <c r="O66" s="334"/>
      <c r="P66" s="336">
        <f>E66+J66</f>
        <v>30000</v>
      </c>
      <c r="R66" s="95"/>
    </row>
    <row r="67" spans="1:255" s="128" customFormat="1" x14ac:dyDescent="0.25">
      <c r="A67" s="358">
        <v>1014030</v>
      </c>
      <c r="B67" s="200">
        <v>4030</v>
      </c>
      <c r="C67" s="201">
        <v>824</v>
      </c>
      <c r="D67" s="338" t="s">
        <v>91</v>
      </c>
      <c r="E67" s="334">
        <f>SUM(F67)</f>
        <v>215700</v>
      </c>
      <c r="F67" s="334">
        <f>SUM(G67+H67)+30100+13700</f>
        <v>215700</v>
      </c>
      <c r="G67" s="334">
        <v>136900</v>
      </c>
      <c r="H67" s="334">
        <v>35000</v>
      </c>
      <c r="I67" s="334"/>
      <c r="J67" s="333">
        <f>L67+O67</f>
        <v>0</v>
      </c>
      <c r="K67" s="334"/>
      <c r="L67" s="334">
        <f>SUM(M67:N67)</f>
        <v>0</v>
      </c>
      <c r="M67" s="334"/>
      <c r="N67" s="334"/>
      <c r="O67" s="334"/>
      <c r="P67" s="336">
        <f t="shared" si="16"/>
        <v>215700</v>
      </c>
      <c r="R67" s="85"/>
    </row>
    <row r="68" spans="1:255" s="94" customFormat="1" ht="18.75" x14ac:dyDescent="0.3">
      <c r="A68" s="358">
        <v>1014040</v>
      </c>
      <c r="B68" s="200">
        <v>4040</v>
      </c>
      <c r="C68" s="201">
        <v>824</v>
      </c>
      <c r="D68" s="338" t="s">
        <v>92</v>
      </c>
      <c r="E68" s="334">
        <f>SUM(F68)</f>
        <v>155000</v>
      </c>
      <c r="F68" s="334">
        <f>SUM(G68+H68)+18900+10000</f>
        <v>155000</v>
      </c>
      <c r="G68" s="334">
        <v>86100</v>
      </c>
      <c r="H68" s="334">
        <v>40000</v>
      </c>
      <c r="I68" s="334"/>
      <c r="J68" s="333">
        <f>L68+O68</f>
        <v>0</v>
      </c>
      <c r="K68" s="334"/>
      <c r="L68" s="334">
        <f>SUM(M68:N68)</f>
        <v>0</v>
      </c>
      <c r="M68" s="334"/>
      <c r="N68" s="334"/>
      <c r="O68" s="334"/>
      <c r="P68" s="336">
        <f t="shared" si="16"/>
        <v>155000</v>
      </c>
      <c r="R68" s="95"/>
    </row>
    <row r="69" spans="1:255" s="128" customFormat="1" ht="47.25" x14ac:dyDescent="0.25">
      <c r="A69" s="358">
        <v>1014060</v>
      </c>
      <c r="B69" s="200">
        <v>4060</v>
      </c>
      <c r="C69" s="201">
        <v>828</v>
      </c>
      <c r="D69" s="338" t="s">
        <v>93</v>
      </c>
      <c r="E69" s="334">
        <f>SUM(F69)</f>
        <v>644500</v>
      </c>
      <c r="F69" s="334">
        <f>SUM(G69+H69)+87100+129300</f>
        <v>644500</v>
      </c>
      <c r="G69" s="334">
        <v>395900</v>
      </c>
      <c r="H69" s="334">
        <v>32200</v>
      </c>
      <c r="I69" s="334"/>
      <c r="J69" s="333">
        <f>L69+O69</f>
        <v>18000</v>
      </c>
      <c r="K69" s="334"/>
      <c r="L69" s="334">
        <f>SUM(M69:N69)+9000</f>
        <v>18000</v>
      </c>
      <c r="M69" s="334"/>
      <c r="N69" s="334">
        <v>9000</v>
      </c>
      <c r="O69" s="334"/>
      <c r="P69" s="336">
        <f t="shared" si="16"/>
        <v>662500</v>
      </c>
      <c r="R69" s="85"/>
    </row>
    <row r="70" spans="1:255" s="128" customFormat="1" ht="32.25" customHeight="1" x14ac:dyDescent="0.25">
      <c r="A70" s="358">
        <v>1014081</v>
      </c>
      <c r="B70" s="200">
        <v>4081</v>
      </c>
      <c r="C70" s="201">
        <v>829</v>
      </c>
      <c r="D70" s="338" t="s">
        <v>142</v>
      </c>
      <c r="E70" s="334">
        <f>SUM(F70)</f>
        <v>712600</v>
      </c>
      <c r="F70" s="334">
        <f>SUM(G70+H70)+126200+12600</f>
        <v>712600</v>
      </c>
      <c r="G70" s="334">
        <v>573800</v>
      </c>
      <c r="H70" s="334"/>
      <c r="I70" s="334"/>
      <c r="J70" s="334"/>
      <c r="K70" s="334"/>
      <c r="L70" s="334"/>
      <c r="M70" s="334"/>
      <c r="N70" s="334"/>
      <c r="O70" s="334"/>
      <c r="P70" s="336">
        <f t="shared" si="16"/>
        <v>712600</v>
      </c>
      <c r="R70" s="85"/>
    </row>
    <row r="71" spans="1:255" s="94" customFormat="1" ht="31.5" x14ac:dyDescent="0.3">
      <c r="A71" s="335" t="s">
        <v>345</v>
      </c>
      <c r="B71" s="200">
        <v>7520</v>
      </c>
      <c r="C71" s="201">
        <v>490</v>
      </c>
      <c r="D71" s="338" t="s">
        <v>342</v>
      </c>
      <c r="E71" s="334">
        <f>F71</f>
        <v>43600</v>
      </c>
      <c r="F71" s="334">
        <f>SUM(G71:H71)+43600</f>
        <v>43600</v>
      </c>
      <c r="G71" s="334"/>
      <c r="H71" s="334"/>
      <c r="I71" s="334"/>
      <c r="J71" s="337"/>
      <c r="K71" s="330"/>
      <c r="L71" s="330"/>
      <c r="M71" s="330"/>
      <c r="N71" s="330"/>
      <c r="O71" s="330"/>
      <c r="P71" s="336">
        <f>E71+J71</f>
        <v>43600</v>
      </c>
      <c r="R71" s="95"/>
    </row>
    <row r="72" spans="1:255" s="363" customFormat="1" x14ac:dyDescent="0.25">
      <c r="A72" s="289">
        <v>1100000</v>
      </c>
      <c r="B72" s="205"/>
      <c r="C72" s="205"/>
      <c r="D72" s="218" t="s">
        <v>252</v>
      </c>
      <c r="E72" s="219">
        <f>SUM(E73)</f>
        <v>4698000</v>
      </c>
      <c r="F72" s="219">
        <f t="shared" ref="F72:O72" si="19">SUM(F73)</f>
        <v>4698000</v>
      </c>
      <c r="G72" s="219">
        <f t="shared" si="19"/>
        <v>2893400</v>
      </c>
      <c r="H72" s="219">
        <f t="shared" si="19"/>
        <v>185000</v>
      </c>
      <c r="I72" s="219">
        <f t="shared" si="19"/>
        <v>0</v>
      </c>
      <c r="J72" s="219">
        <f t="shared" si="19"/>
        <v>0</v>
      </c>
      <c r="K72" s="219"/>
      <c r="L72" s="219">
        <f t="shared" si="19"/>
        <v>0</v>
      </c>
      <c r="M72" s="219">
        <f t="shared" si="19"/>
        <v>0</v>
      </c>
      <c r="N72" s="219">
        <f t="shared" si="19"/>
        <v>0</v>
      </c>
      <c r="O72" s="219">
        <f t="shared" si="19"/>
        <v>0</v>
      </c>
      <c r="P72" s="350">
        <f t="shared" si="16"/>
        <v>4698000</v>
      </c>
      <c r="Q72" s="215"/>
      <c r="R72" s="216"/>
      <c r="S72" s="215"/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215"/>
      <c r="AM72" s="215"/>
      <c r="AN72" s="215"/>
      <c r="AO72" s="215"/>
      <c r="AP72" s="215"/>
      <c r="AQ72" s="215"/>
      <c r="AR72" s="215"/>
      <c r="AS72" s="215"/>
      <c r="AT72" s="215"/>
      <c r="AU72" s="215"/>
      <c r="AV72" s="215"/>
      <c r="AW72" s="215"/>
      <c r="AX72" s="215"/>
      <c r="AY72" s="215"/>
      <c r="AZ72" s="215"/>
      <c r="BA72" s="215"/>
      <c r="BB72" s="215"/>
      <c r="BC72" s="215"/>
      <c r="BD72" s="215"/>
      <c r="BE72" s="215"/>
      <c r="BF72" s="215"/>
      <c r="BG72" s="215"/>
      <c r="BH72" s="215"/>
      <c r="BI72" s="215"/>
      <c r="BJ72" s="215"/>
      <c r="BK72" s="215"/>
      <c r="BL72" s="215"/>
      <c r="BM72" s="215"/>
      <c r="BN72" s="215"/>
      <c r="BO72" s="215"/>
      <c r="BP72" s="215"/>
      <c r="BQ72" s="215"/>
      <c r="BR72" s="215"/>
      <c r="BS72" s="215"/>
      <c r="BT72" s="215"/>
      <c r="BU72" s="215"/>
      <c r="BV72" s="215"/>
      <c r="BW72" s="215"/>
      <c r="BX72" s="215"/>
      <c r="BY72" s="215"/>
      <c r="BZ72" s="215"/>
      <c r="CA72" s="215"/>
      <c r="CB72" s="215"/>
      <c r="CC72" s="215"/>
      <c r="CD72" s="215"/>
      <c r="CE72" s="215"/>
      <c r="CF72" s="215"/>
      <c r="CG72" s="215"/>
      <c r="CH72" s="215"/>
      <c r="CI72" s="215"/>
      <c r="CJ72" s="215"/>
      <c r="CK72" s="215"/>
      <c r="CL72" s="215"/>
      <c r="CM72" s="215"/>
      <c r="CN72" s="215"/>
      <c r="CO72" s="215"/>
      <c r="CP72" s="215"/>
      <c r="CQ72" s="215"/>
      <c r="CR72" s="215"/>
      <c r="CS72" s="215"/>
      <c r="CT72" s="215"/>
      <c r="CU72" s="215"/>
      <c r="CV72" s="215"/>
      <c r="CW72" s="215"/>
      <c r="CX72" s="215"/>
      <c r="CY72" s="215"/>
      <c r="CZ72" s="215"/>
      <c r="DA72" s="215"/>
      <c r="DB72" s="215"/>
      <c r="DC72" s="215"/>
      <c r="DD72" s="215"/>
      <c r="DE72" s="215"/>
      <c r="DF72" s="215"/>
      <c r="DG72" s="215"/>
      <c r="DH72" s="215"/>
      <c r="DI72" s="215"/>
      <c r="DJ72" s="215"/>
      <c r="DK72" s="215"/>
      <c r="DL72" s="215"/>
      <c r="DM72" s="215"/>
      <c r="DN72" s="215"/>
      <c r="DO72" s="215"/>
      <c r="DP72" s="215"/>
      <c r="DQ72" s="215"/>
      <c r="DR72" s="215"/>
      <c r="DS72" s="215"/>
      <c r="DT72" s="215"/>
      <c r="DU72" s="215"/>
      <c r="DV72" s="215"/>
      <c r="DW72" s="215"/>
      <c r="DX72" s="215"/>
      <c r="DY72" s="215"/>
      <c r="DZ72" s="215"/>
      <c r="EA72" s="215"/>
      <c r="EB72" s="215"/>
      <c r="EC72" s="215"/>
      <c r="ED72" s="215"/>
      <c r="EE72" s="215"/>
      <c r="EF72" s="215"/>
      <c r="EG72" s="215"/>
      <c r="EH72" s="215"/>
      <c r="EI72" s="215"/>
      <c r="EJ72" s="215"/>
      <c r="EK72" s="215"/>
      <c r="EL72" s="215"/>
      <c r="EM72" s="215"/>
      <c r="EN72" s="215"/>
      <c r="EO72" s="215"/>
      <c r="EP72" s="215"/>
      <c r="EQ72" s="215"/>
      <c r="ER72" s="215"/>
      <c r="ES72" s="215"/>
      <c r="ET72" s="215"/>
      <c r="EU72" s="215"/>
      <c r="EV72" s="215"/>
      <c r="EW72" s="215"/>
      <c r="EX72" s="215"/>
      <c r="EY72" s="215"/>
      <c r="EZ72" s="215"/>
      <c r="FA72" s="215"/>
      <c r="FB72" s="215"/>
      <c r="FC72" s="215"/>
      <c r="FD72" s="215"/>
      <c r="FE72" s="215"/>
      <c r="FF72" s="215"/>
      <c r="FG72" s="215"/>
      <c r="FH72" s="215"/>
      <c r="FI72" s="215"/>
      <c r="FJ72" s="215"/>
      <c r="FK72" s="215"/>
      <c r="FL72" s="215"/>
      <c r="FM72" s="215"/>
      <c r="FN72" s="215"/>
      <c r="FO72" s="215"/>
      <c r="FP72" s="215"/>
      <c r="FQ72" s="215"/>
      <c r="FR72" s="215"/>
      <c r="FS72" s="215"/>
      <c r="FT72" s="215"/>
      <c r="FU72" s="215"/>
      <c r="FV72" s="215"/>
      <c r="FW72" s="215"/>
      <c r="FX72" s="215"/>
      <c r="FY72" s="215"/>
      <c r="FZ72" s="215"/>
      <c r="GA72" s="215"/>
      <c r="GB72" s="215"/>
      <c r="GC72" s="215"/>
      <c r="GD72" s="215"/>
      <c r="GE72" s="215"/>
      <c r="GF72" s="215"/>
      <c r="GG72" s="215"/>
      <c r="GH72" s="215"/>
      <c r="GI72" s="215"/>
      <c r="GJ72" s="215"/>
      <c r="GK72" s="215"/>
      <c r="GL72" s="215"/>
      <c r="GM72" s="215"/>
      <c r="GN72" s="215"/>
      <c r="GO72" s="215"/>
      <c r="GP72" s="215"/>
      <c r="GQ72" s="215"/>
      <c r="GR72" s="215"/>
      <c r="GS72" s="215"/>
      <c r="GT72" s="215"/>
      <c r="GU72" s="215"/>
      <c r="GV72" s="215"/>
      <c r="GW72" s="215"/>
      <c r="GX72" s="215"/>
      <c r="GY72" s="215"/>
      <c r="GZ72" s="215"/>
      <c r="HA72" s="215"/>
      <c r="HB72" s="215"/>
      <c r="HC72" s="215"/>
      <c r="HD72" s="215"/>
      <c r="HE72" s="215"/>
      <c r="HF72" s="215"/>
      <c r="HG72" s="215"/>
      <c r="HH72" s="215"/>
      <c r="HI72" s="215"/>
      <c r="HJ72" s="215"/>
      <c r="HK72" s="215"/>
      <c r="HL72" s="215"/>
      <c r="HM72" s="215"/>
      <c r="HN72" s="215"/>
      <c r="HO72" s="215"/>
      <c r="HP72" s="215"/>
      <c r="HQ72" s="215"/>
      <c r="HR72" s="215"/>
      <c r="HS72" s="215"/>
      <c r="HT72" s="215"/>
      <c r="HU72" s="215"/>
      <c r="HV72" s="215"/>
      <c r="HW72" s="215"/>
      <c r="HX72" s="215"/>
      <c r="HY72" s="215"/>
      <c r="HZ72" s="215"/>
      <c r="IA72" s="215"/>
      <c r="IB72" s="215"/>
      <c r="IC72" s="215"/>
      <c r="ID72" s="215"/>
      <c r="IE72" s="215"/>
      <c r="IF72" s="215"/>
      <c r="IG72" s="215"/>
      <c r="IH72" s="215"/>
      <c r="II72" s="215"/>
      <c r="IJ72" s="215"/>
      <c r="IK72" s="215"/>
      <c r="IL72" s="215"/>
      <c r="IM72" s="215"/>
      <c r="IN72" s="215"/>
      <c r="IO72" s="215"/>
      <c r="IP72" s="215"/>
      <c r="IQ72" s="215"/>
      <c r="IR72" s="215"/>
      <c r="IS72" s="215"/>
      <c r="IT72" s="215"/>
      <c r="IU72" s="215"/>
    </row>
    <row r="73" spans="1:255" s="361" customFormat="1" ht="18.75" x14ac:dyDescent="0.3">
      <c r="A73" s="290">
        <v>1110000</v>
      </c>
      <c r="B73" s="191"/>
      <c r="C73" s="191"/>
      <c r="D73" s="218" t="s">
        <v>252</v>
      </c>
      <c r="E73" s="209">
        <f>SUM(E74:E82)</f>
        <v>4698000</v>
      </c>
      <c r="F73" s="209">
        <f t="shared" ref="F73:P73" si="20">SUM(F74:F82)</f>
        <v>4698000</v>
      </c>
      <c r="G73" s="209">
        <f t="shared" si="20"/>
        <v>2893400</v>
      </c>
      <c r="H73" s="209">
        <f t="shared" si="20"/>
        <v>185000</v>
      </c>
      <c r="I73" s="209">
        <f t="shared" si="20"/>
        <v>0</v>
      </c>
      <c r="J73" s="209">
        <f t="shared" si="20"/>
        <v>0</v>
      </c>
      <c r="K73" s="209">
        <f t="shared" si="20"/>
        <v>0</v>
      </c>
      <c r="L73" s="209">
        <f t="shared" si="20"/>
        <v>0</v>
      </c>
      <c r="M73" s="209">
        <f t="shared" si="20"/>
        <v>0</v>
      </c>
      <c r="N73" s="209">
        <f t="shared" si="20"/>
        <v>0</v>
      </c>
      <c r="O73" s="209">
        <f t="shared" si="20"/>
        <v>0</v>
      </c>
      <c r="P73" s="209">
        <f t="shared" si="20"/>
        <v>4698000</v>
      </c>
      <c r="R73" s="362"/>
    </row>
    <row r="74" spans="1:255" s="94" customFormat="1" ht="47.25" x14ac:dyDescent="0.3">
      <c r="A74" s="335" t="s">
        <v>120</v>
      </c>
      <c r="B74" s="178" t="s">
        <v>108</v>
      </c>
      <c r="C74" s="178" t="s">
        <v>25</v>
      </c>
      <c r="D74" s="338" t="s">
        <v>210</v>
      </c>
      <c r="E74" s="334">
        <f t="shared" ref="E74:E82" si="21">F74</f>
        <v>469000</v>
      </c>
      <c r="F74" s="334">
        <f>SUM(G74:H74)+79000+31000</f>
        <v>469000</v>
      </c>
      <c r="G74" s="334">
        <v>359000</v>
      </c>
      <c r="H74" s="334"/>
      <c r="I74" s="334"/>
      <c r="J74" s="334">
        <f>L74+O74</f>
        <v>0</v>
      </c>
      <c r="K74" s="334"/>
      <c r="L74" s="334"/>
      <c r="M74" s="334"/>
      <c r="N74" s="334"/>
      <c r="O74" s="334"/>
      <c r="P74" s="336">
        <f t="shared" si="16"/>
        <v>469000</v>
      </c>
      <c r="R74" s="95"/>
    </row>
    <row r="75" spans="1:255" s="84" customFormat="1" ht="78.75" x14ac:dyDescent="0.25">
      <c r="A75" s="335" t="s">
        <v>129</v>
      </c>
      <c r="B75" s="178" t="s">
        <v>130</v>
      </c>
      <c r="C75" s="178" t="s">
        <v>131</v>
      </c>
      <c r="D75" s="338" t="s">
        <v>132</v>
      </c>
      <c r="E75" s="334">
        <f t="shared" si="21"/>
        <v>220000</v>
      </c>
      <c r="F75" s="334">
        <f>SUM(G75:H75)+220000</f>
        <v>220000</v>
      </c>
      <c r="G75" s="334"/>
      <c r="H75" s="334"/>
      <c r="I75" s="334"/>
      <c r="J75" s="334"/>
      <c r="K75" s="334"/>
      <c r="L75" s="334"/>
      <c r="M75" s="334"/>
      <c r="N75" s="334"/>
      <c r="O75" s="334"/>
      <c r="P75" s="336">
        <f t="shared" si="16"/>
        <v>220000</v>
      </c>
      <c r="Q75" s="128"/>
      <c r="R75" s="85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  <c r="BR75" s="128"/>
      <c r="BS75" s="128"/>
      <c r="BT75" s="128"/>
      <c r="BU75" s="128"/>
      <c r="BV75" s="128"/>
      <c r="BW75" s="128"/>
      <c r="BX75" s="128"/>
      <c r="BY75" s="128"/>
      <c r="BZ75" s="128"/>
      <c r="CA75" s="128"/>
      <c r="CB75" s="128"/>
      <c r="CC75" s="128"/>
      <c r="CD75" s="128"/>
      <c r="CE75" s="128"/>
      <c r="CF75" s="128"/>
      <c r="CG75" s="128"/>
      <c r="CH75" s="128"/>
      <c r="CI75" s="128"/>
      <c r="CJ75" s="128"/>
      <c r="CK75" s="128"/>
      <c r="CL75" s="128"/>
      <c r="CM75" s="128"/>
      <c r="CN75" s="128"/>
      <c r="CO75" s="128"/>
      <c r="CP75" s="128"/>
      <c r="CQ75" s="128"/>
      <c r="CR75" s="128"/>
      <c r="CS75" s="128"/>
      <c r="CT75" s="128"/>
      <c r="CU75" s="128"/>
      <c r="CV75" s="128"/>
      <c r="CW75" s="128"/>
      <c r="CX75" s="128"/>
      <c r="CY75" s="128"/>
      <c r="CZ75" s="128"/>
      <c r="DA75" s="128"/>
      <c r="DB75" s="128"/>
      <c r="DC75" s="128"/>
      <c r="DD75" s="128"/>
      <c r="DE75" s="128"/>
      <c r="DF75" s="128"/>
      <c r="DG75" s="128"/>
      <c r="DH75" s="128"/>
      <c r="DI75" s="128"/>
      <c r="DJ75" s="128"/>
      <c r="DK75" s="128"/>
      <c r="DL75" s="128"/>
      <c r="DM75" s="128"/>
      <c r="DN75" s="128"/>
      <c r="DO75" s="128"/>
      <c r="DP75" s="128"/>
      <c r="DQ75" s="128"/>
      <c r="DR75" s="128"/>
      <c r="DS75" s="128"/>
      <c r="DT75" s="128"/>
      <c r="DU75" s="128"/>
      <c r="DV75" s="128"/>
      <c r="DW75" s="128"/>
      <c r="DX75" s="128"/>
      <c r="DY75" s="128"/>
      <c r="DZ75" s="128"/>
      <c r="EA75" s="128"/>
      <c r="EB75" s="128"/>
      <c r="EC75" s="128"/>
      <c r="ED75" s="128"/>
      <c r="EE75" s="128"/>
      <c r="EF75" s="128"/>
      <c r="EG75" s="128"/>
      <c r="EH75" s="128"/>
      <c r="EI75" s="128"/>
      <c r="EJ75" s="128"/>
      <c r="EK75" s="128"/>
      <c r="EL75" s="128"/>
      <c r="EM75" s="128"/>
      <c r="EN75" s="128"/>
      <c r="EO75" s="128"/>
      <c r="EP75" s="128"/>
      <c r="EQ75" s="128"/>
      <c r="ER75" s="128"/>
      <c r="ES75" s="128"/>
      <c r="ET75" s="128"/>
      <c r="EU75" s="128"/>
      <c r="EV75" s="128"/>
      <c r="EW75" s="128"/>
      <c r="EX75" s="128"/>
      <c r="EY75" s="128"/>
      <c r="EZ75" s="128"/>
      <c r="FA75" s="128"/>
      <c r="FB75" s="128"/>
      <c r="FC75" s="128"/>
      <c r="FD75" s="128"/>
      <c r="FE75" s="128"/>
      <c r="FF75" s="128"/>
      <c r="FG75" s="128"/>
      <c r="FH75" s="128"/>
      <c r="FI75" s="128"/>
      <c r="FJ75" s="128"/>
      <c r="FK75" s="128"/>
      <c r="FL75" s="128"/>
      <c r="FM75" s="128"/>
      <c r="FN75" s="128"/>
      <c r="FO75" s="128"/>
      <c r="FP75" s="128"/>
      <c r="FQ75" s="128"/>
      <c r="FR75" s="128"/>
      <c r="FS75" s="128"/>
      <c r="FT75" s="128"/>
      <c r="FU75" s="128"/>
      <c r="FV75" s="128"/>
      <c r="FW75" s="128"/>
      <c r="FX75" s="128"/>
      <c r="FY75" s="128"/>
      <c r="FZ75" s="128"/>
      <c r="GA75" s="128"/>
      <c r="GB75" s="128"/>
      <c r="GC75" s="128"/>
      <c r="GD75" s="128"/>
      <c r="GE75" s="128"/>
      <c r="GF75" s="128"/>
      <c r="GG75" s="128"/>
      <c r="GH75" s="128"/>
      <c r="GI75" s="128"/>
      <c r="GJ75" s="128"/>
      <c r="GK75" s="128"/>
      <c r="GL75" s="128"/>
      <c r="GM75" s="128"/>
      <c r="GN75" s="128"/>
      <c r="GO75" s="128"/>
      <c r="GP75" s="128"/>
      <c r="GQ75" s="128"/>
      <c r="GR75" s="128"/>
      <c r="GS75" s="128"/>
      <c r="GT75" s="128"/>
      <c r="GU75" s="128"/>
      <c r="GV75" s="128"/>
      <c r="GW75" s="128"/>
      <c r="GX75" s="128"/>
      <c r="GY75" s="128"/>
      <c r="GZ75" s="128"/>
      <c r="HA75" s="128"/>
      <c r="HB75" s="128"/>
      <c r="HC75" s="128"/>
      <c r="HD75" s="128"/>
      <c r="HE75" s="128"/>
      <c r="HF75" s="128"/>
      <c r="HG75" s="128"/>
      <c r="HH75" s="128"/>
      <c r="HI75" s="128"/>
      <c r="HJ75" s="128"/>
      <c r="HK75" s="128"/>
      <c r="HL75" s="128"/>
      <c r="HM75" s="128"/>
      <c r="HN75" s="128"/>
      <c r="HO75" s="128"/>
      <c r="HP75" s="128"/>
      <c r="HQ75" s="128"/>
      <c r="HR75" s="128"/>
      <c r="HS75" s="128"/>
      <c r="HT75" s="128"/>
      <c r="HU75" s="128"/>
      <c r="HV75" s="128"/>
      <c r="HW75" s="128"/>
      <c r="HX75" s="128"/>
      <c r="HY75" s="128"/>
      <c r="HZ75" s="128"/>
      <c r="IA75" s="128"/>
      <c r="IB75" s="128"/>
      <c r="IC75" s="128"/>
      <c r="ID75" s="128"/>
      <c r="IE75" s="128"/>
      <c r="IF75" s="128"/>
      <c r="IG75" s="128"/>
      <c r="IH75" s="128"/>
      <c r="II75" s="128"/>
      <c r="IJ75" s="128"/>
      <c r="IK75" s="128"/>
      <c r="IL75" s="128"/>
      <c r="IM75" s="128"/>
      <c r="IN75" s="128"/>
      <c r="IO75" s="128"/>
      <c r="IP75" s="128"/>
      <c r="IQ75" s="128"/>
      <c r="IR75" s="128"/>
      <c r="IS75" s="128"/>
      <c r="IT75" s="128"/>
      <c r="IU75" s="128"/>
    </row>
    <row r="76" spans="1:255" s="128" customFormat="1" ht="31.5" x14ac:dyDescent="0.25">
      <c r="A76" s="319" t="s">
        <v>121</v>
      </c>
      <c r="B76" s="200">
        <v>5011</v>
      </c>
      <c r="C76" s="201">
        <v>810</v>
      </c>
      <c r="D76" s="338" t="s">
        <v>81</v>
      </c>
      <c r="E76" s="334">
        <f t="shared" si="21"/>
        <v>250000</v>
      </c>
      <c r="F76" s="334">
        <f>SUM(G76:H76)+250000</f>
        <v>250000</v>
      </c>
      <c r="G76" s="334"/>
      <c r="H76" s="334"/>
      <c r="I76" s="334"/>
      <c r="J76" s="334">
        <f>L76+O76</f>
        <v>0</v>
      </c>
      <c r="K76" s="334"/>
      <c r="L76" s="334"/>
      <c r="M76" s="334"/>
      <c r="N76" s="334"/>
      <c r="O76" s="334"/>
      <c r="P76" s="336">
        <f t="shared" si="16"/>
        <v>250000</v>
      </c>
      <c r="R76" s="85"/>
    </row>
    <row r="77" spans="1:255" s="128" customFormat="1" ht="33.75" customHeight="1" x14ac:dyDescent="0.25">
      <c r="A77" s="319" t="s">
        <v>122</v>
      </c>
      <c r="B77" s="200">
        <v>5012</v>
      </c>
      <c r="C77" s="201">
        <v>810</v>
      </c>
      <c r="D77" s="338" t="s">
        <v>82</v>
      </c>
      <c r="E77" s="334">
        <f t="shared" si="21"/>
        <v>110000</v>
      </c>
      <c r="F77" s="334">
        <f>SUM(G77:H77)+110000</f>
        <v>110000</v>
      </c>
      <c r="G77" s="334"/>
      <c r="H77" s="334"/>
      <c r="I77" s="334"/>
      <c r="J77" s="334">
        <f>L77+O77</f>
        <v>0</v>
      </c>
      <c r="K77" s="334"/>
      <c r="L77" s="334"/>
      <c r="M77" s="334"/>
      <c r="N77" s="334"/>
      <c r="O77" s="334"/>
      <c r="P77" s="336">
        <f t="shared" si="16"/>
        <v>110000</v>
      </c>
      <c r="R77" s="85"/>
    </row>
    <row r="78" spans="1:255" s="128" customFormat="1" ht="47.25" x14ac:dyDescent="0.25">
      <c r="A78" s="319" t="s">
        <v>126</v>
      </c>
      <c r="B78" s="200">
        <v>5031</v>
      </c>
      <c r="C78" s="201">
        <v>810</v>
      </c>
      <c r="D78" s="338" t="s">
        <v>127</v>
      </c>
      <c r="E78" s="334">
        <f t="shared" si="21"/>
        <v>3156000</v>
      </c>
      <c r="F78" s="334">
        <f>SUM(G78:H78)+483300+291000</f>
        <v>3156000</v>
      </c>
      <c r="G78" s="334">
        <v>2196700</v>
      </c>
      <c r="H78" s="334">
        <v>185000</v>
      </c>
      <c r="I78" s="334"/>
      <c r="J78" s="334">
        <f>L78+O78</f>
        <v>0</v>
      </c>
      <c r="K78" s="334"/>
      <c r="L78" s="334"/>
      <c r="M78" s="334"/>
      <c r="N78" s="334"/>
      <c r="O78" s="334"/>
      <c r="P78" s="336">
        <f t="shared" si="16"/>
        <v>3156000</v>
      </c>
      <c r="R78" s="85"/>
    </row>
    <row r="79" spans="1:255" s="94" customFormat="1" ht="62.25" customHeight="1" x14ac:dyDescent="0.3">
      <c r="A79" s="319" t="s">
        <v>123</v>
      </c>
      <c r="B79" s="200">
        <v>5061</v>
      </c>
      <c r="C79" s="201">
        <v>810</v>
      </c>
      <c r="D79" s="338" t="s">
        <v>88</v>
      </c>
      <c r="E79" s="334">
        <f t="shared" si="21"/>
        <v>176000</v>
      </c>
      <c r="F79" s="334">
        <f>SUM(G79:H79)+28300+19000</f>
        <v>176000</v>
      </c>
      <c r="G79" s="334">
        <v>128700</v>
      </c>
      <c r="H79" s="334"/>
      <c r="I79" s="334"/>
      <c r="J79" s="334">
        <f>L79+O79</f>
        <v>0</v>
      </c>
      <c r="K79" s="334"/>
      <c r="L79" s="334"/>
      <c r="M79" s="334"/>
      <c r="N79" s="334"/>
      <c r="O79" s="334"/>
      <c r="P79" s="336">
        <f t="shared" si="16"/>
        <v>176000</v>
      </c>
      <c r="Q79" s="102"/>
      <c r="R79" s="103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  <c r="AU79" s="102"/>
      <c r="AV79" s="102"/>
      <c r="AW79" s="102"/>
      <c r="AX79" s="102"/>
      <c r="AY79" s="102"/>
      <c r="AZ79" s="102"/>
      <c r="BA79" s="102"/>
      <c r="BB79" s="102"/>
      <c r="BC79" s="102"/>
      <c r="BD79" s="102"/>
      <c r="BE79" s="102"/>
      <c r="BF79" s="102"/>
      <c r="BG79" s="102"/>
      <c r="BH79" s="102"/>
      <c r="BI79" s="102"/>
      <c r="BJ79" s="102"/>
      <c r="BK79" s="102"/>
      <c r="BL79" s="102"/>
      <c r="BM79" s="102"/>
      <c r="BN79" s="102"/>
      <c r="BO79" s="102"/>
      <c r="BP79" s="102"/>
      <c r="BQ79" s="102"/>
      <c r="BR79" s="102"/>
      <c r="BS79" s="102"/>
      <c r="BT79" s="102"/>
      <c r="BU79" s="102"/>
      <c r="BV79" s="102"/>
      <c r="BW79" s="102"/>
      <c r="BX79" s="102"/>
      <c r="BY79" s="102"/>
      <c r="BZ79" s="102"/>
      <c r="CA79" s="102"/>
      <c r="CB79" s="102"/>
      <c r="CC79" s="102"/>
      <c r="CD79" s="102"/>
      <c r="CE79" s="102"/>
      <c r="CF79" s="102"/>
      <c r="CG79" s="102"/>
      <c r="CH79" s="102"/>
      <c r="CI79" s="102"/>
      <c r="CJ79" s="102"/>
      <c r="CK79" s="102"/>
      <c r="CL79" s="102"/>
      <c r="CM79" s="102"/>
      <c r="CN79" s="102"/>
      <c r="CO79" s="102"/>
      <c r="CP79" s="102"/>
      <c r="CQ79" s="102"/>
      <c r="CR79" s="102"/>
      <c r="CS79" s="102"/>
      <c r="CT79" s="102"/>
      <c r="CU79" s="102"/>
      <c r="CV79" s="102"/>
      <c r="CW79" s="102"/>
      <c r="CX79" s="102"/>
      <c r="CY79" s="102"/>
      <c r="CZ79" s="102"/>
      <c r="DA79" s="102"/>
      <c r="DB79" s="102"/>
      <c r="DC79" s="102"/>
      <c r="DD79" s="102"/>
      <c r="DE79" s="102"/>
      <c r="DF79" s="102"/>
      <c r="DG79" s="102"/>
      <c r="DH79" s="102"/>
      <c r="DI79" s="102"/>
      <c r="DJ79" s="102"/>
      <c r="DK79" s="102"/>
      <c r="DL79" s="102"/>
      <c r="DM79" s="102"/>
      <c r="DN79" s="102"/>
      <c r="DO79" s="102"/>
      <c r="DP79" s="102"/>
      <c r="DQ79" s="102"/>
      <c r="DR79" s="102"/>
      <c r="DS79" s="102"/>
      <c r="DT79" s="102"/>
      <c r="DU79" s="102"/>
      <c r="DV79" s="102"/>
      <c r="DW79" s="102"/>
      <c r="DX79" s="102"/>
      <c r="DY79" s="102"/>
      <c r="DZ79" s="102"/>
      <c r="EA79" s="102"/>
      <c r="EB79" s="102"/>
      <c r="EC79" s="102"/>
      <c r="ED79" s="102"/>
      <c r="EE79" s="102"/>
      <c r="EF79" s="102"/>
      <c r="EG79" s="102"/>
      <c r="EH79" s="102"/>
      <c r="EI79" s="102"/>
      <c r="EJ79" s="102"/>
      <c r="EK79" s="102"/>
      <c r="EL79" s="102"/>
      <c r="EM79" s="102"/>
      <c r="EN79" s="102"/>
      <c r="EO79" s="102"/>
      <c r="EP79" s="102"/>
      <c r="EQ79" s="102"/>
      <c r="ER79" s="102"/>
      <c r="ES79" s="102"/>
      <c r="ET79" s="102"/>
      <c r="EU79" s="102"/>
      <c r="EV79" s="102"/>
      <c r="EW79" s="102"/>
      <c r="EX79" s="102"/>
      <c r="EY79" s="102"/>
      <c r="EZ79" s="102"/>
      <c r="FA79" s="102"/>
      <c r="FB79" s="102"/>
      <c r="FC79" s="102"/>
      <c r="FD79" s="102"/>
      <c r="FE79" s="102"/>
      <c r="FF79" s="102"/>
      <c r="FG79" s="102"/>
      <c r="FH79" s="102"/>
      <c r="FI79" s="102"/>
      <c r="FJ79" s="102"/>
      <c r="FK79" s="102"/>
      <c r="FL79" s="102"/>
      <c r="FM79" s="102"/>
      <c r="FN79" s="102"/>
      <c r="FO79" s="102"/>
      <c r="FP79" s="102"/>
      <c r="FQ79" s="102"/>
      <c r="FR79" s="102"/>
      <c r="FS79" s="102"/>
      <c r="FT79" s="102"/>
      <c r="FU79" s="102"/>
      <c r="FV79" s="102"/>
      <c r="FW79" s="102"/>
      <c r="FX79" s="102"/>
      <c r="FY79" s="102"/>
      <c r="FZ79" s="102"/>
      <c r="GA79" s="102"/>
      <c r="GB79" s="102"/>
      <c r="GC79" s="102"/>
      <c r="GD79" s="102"/>
      <c r="GE79" s="102"/>
      <c r="GF79" s="102"/>
      <c r="GG79" s="102"/>
      <c r="GH79" s="102"/>
      <c r="GI79" s="102"/>
      <c r="GJ79" s="102"/>
      <c r="GK79" s="102"/>
      <c r="GL79" s="102"/>
      <c r="GM79" s="102"/>
      <c r="GN79" s="102"/>
      <c r="GO79" s="102"/>
      <c r="GP79" s="102"/>
      <c r="GQ79" s="102"/>
      <c r="GR79" s="102"/>
      <c r="GS79" s="102"/>
      <c r="GT79" s="102"/>
      <c r="GU79" s="102"/>
      <c r="GV79" s="102"/>
      <c r="GW79" s="102"/>
      <c r="GX79" s="102"/>
      <c r="GY79" s="102"/>
      <c r="GZ79" s="102"/>
      <c r="HA79" s="102"/>
      <c r="HB79" s="102"/>
      <c r="HC79" s="102"/>
      <c r="HD79" s="102"/>
      <c r="HE79" s="102"/>
      <c r="HF79" s="102"/>
      <c r="HG79" s="102"/>
      <c r="HH79" s="102"/>
      <c r="HI79" s="102"/>
      <c r="HJ79" s="102"/>
      <c r="HK79" s="102"/>
      <c r="HL79" s="102"/>
      <c r="HM79" s="102"/>
      <c r="HN79" s="102"/>
      <c r="HO79" s="102"/>
      <c r="HP79" s="102"/>
      <c r="HQ79" s="102"/>
      <c r="HR79" s="102"/>
      <c r="HS79" s="102"/>
      <c r="HT79" s="102"/>
      <c r="HU79" s="102"/>
      <c r="HV79" s="102"/>
      <c r="HW79" s="102"/>
      <c r="HX79" s="102"/>
      <c r="HY79" s="102"/>
      <c r="HZ79" s="102"/>
      <c r="IA79" s="102"/>
      <c r="IB79" s="102"/>
      <c r="IC79" s="102"/>
      <c r="ID79" s="102"/>
      <c r="IE79" s="102"/>
      <c r="IF79" s="102"/>
      <c r="IG79" s="102"/>
      <c r="IH79" s="102"/>
      <c r="II79" s="102"/>
      <c r="IJ79" s="102"/>
      <c r="IK79" s="102"/>
      <c r="IL79" s="102"/>
      <c r="IM79" s="102"/>
      <c r="IN79" s="102"/>
      <c r="IO79" s="102"/>
      <c r="IP79" s="102"/>
      <c r="IQ79" s="102"/>
      <c r="IR79" s="102"/>
      <c r="IS79" s="102"/>
      <c r="IT79" s="102"/>
      <c r="IU79" s="102"/>
    </row>
    <row r="80" spans="1:255" s="87" customFormat="1" ht="47.25" x14ac:dyDescent="0.25">
      <c r="A80" s="319" t="s">
        <v>124</v>
      </c>
      <c r="B80" s="200">
        <v>5062</v>
      </c>
      <c r="C80" s="201">
        <v>810</v>
      </c>
      <c r="D80" s="338" t="s">
        <v>89</v>
      </c>
      <c r="E80" s="334">
        <f t="shared" si="21"/>
        <v>9000</v>
      </c>
      <c r="F80" s="334">
        <f>SUM(G80:H80)+9000</f>
        <v>9000</v>
      </c>
      <c r="G80" s="334"/>
      <c r="H80" s="334"/>
      <c r="I80" s="334"/>
      <c r="J80" s="334">
        <f>L80+O80</f>
        <v>0</v>
      </c>
      <c r="K80" s="334"/>
      <c r="L80" s="334"/>
      <c r="M80" s="334"/>
      <c r="N80" s="334"/>
      <c r="O80" s="334"/>
      <c r="P80" s="336">
        <f t="shared" si="16"/>
        <v>9000</v>
      </c>
      <c r="R80" s="88"/>
    </row>
    <row r="81" spans="1:21" s="87" customFormat="1" ht="31.5" x14ac:dyDescent="0.25">
      <c r="A81" s="319" t="s">
        <v>125</v>
      </c>
      <c r="B81" s="200">
        <v>5063</v>
      </c>
      <c r="C81" s="201">
        <v>810</v>
      </c>
      <c r="D81" s="338" t="s">
        <v>128</v>
      </c>
      <c r="E81" s="334">
        <f t="shared" si="21"/>
        <v>279000</v>
      </c>
      <c r="F81" s="334">
        <f>SUM(G81:H81)+46000+24000</f>
        <v>279000</v>
      </c>
      <c r="G81" s="334">
        <v>209000</v>
      </c>
      <c r="H81" s="334"/>
      <c r="I81" s="334"/>
      <c r="J81" s="334"/>
      <c r="K81" s="334"/>
      <c r="L81" s="334"/>
      <c r="M81" s="334"/>
      <c r="N81" s="334"/>
      <c r="O81" s="334"/>
      <c r="P81" s="336">
        <f t="shared" si="16"/>
        <v>279000</v>
      </c>
      <c r="R81" s="88"/>
    </row>
    <row r="82" spans="1:21" s="94" customFormat="1" ht="31.5" x14ac:dyDescent="0.3">
      <c r="A82" s="335" t="s">
        <v>346</v>
      </c>
      <c r="B82" s="200">
        <v>7520</v>
      </c>
      <c r="C82" s="201">
        <v>490</v>
      </c>
      <c r="D82" s="338" t="s">
        <v>342</v>
      </c>
      <c r="E82" s="334">
        <f t="shared" si="21"/>
        <v>29000</v>
      </c>
      <c r="F82" s="334">
        <f>SUM(G82:H82)+29000</f>
        <v>29000</v>
      </c>
      <c r="G82" s="334"/>
      <c r="H82" s="334"/>
      <c r="I82" s="334"/>
      <c r="J82" s="337"/>
      <c r="K82" s="330"/>
      <c r="L82" s="330"/>
      <c r="M82" s="330"/>
      <c r="N82" s="330"/>
      <c r="O82" s="330"/>
      <c r="P82" s="336">
        <f>E82+J82</f>
        <v>29000</v>
      </c>
      <c r="R82" s="95"/>
    </row>
    <row r="83" spans="1:21" s="217" customFormat="1" ht="31.5" x14ac:dyDescent="0.25">
      <c r="A83" s="295">
        <v>2700000</v>
      </c>
      <c r="B83" s="191"/>
      <c r="C83" s="191"/>
      <c r="D83" s="485" t="s">
        <v>211</v>
      </c>
      <c r="E83" s="209">
        <f>SUM(E84)</f>
        <v>3965000</v>
      </c>
      <c r="F83" s="209">
        <f t="shared" ref="F83:O83" si="22">SUM(F84)</f>
        <v>3965000</v>
      </c>
      <c r="G83" s="209">
        <f t="shared" si="22"/>
        <v>110700</v>
      </c>
      <c r="H83" s="209">
        <f t="shared" si="22"/>
        <v>335000</v>
      </c>
      <c r="I83" s="209">
        <f t="shared" si="22"/>
        <v>0</v>
      </c>
      <c r="J83" s="209">
        <f t="shared" si="22"/>
        <v>715000</v>
      </c>
      <c r="K83" s="209">
        <f t="shared" si="22"/>
        <v>500000</v>
      </c>
      <c r="L83" s="209">
        <f t="shared" si="22"/>
        <v>215000</v>
      </c>
      <c r="M83" s="209">
        <f t="shared" si="22"/>
        <v>110700</v>
      </c>
      <c r="N83" s="209">
        <f t="shared" si="22"/>
        <v>0</v>
      </c>
      <c r="O83" s="209">
        <f t="shared" si="22"/>
        <v>500000</v>
      </c>
      <c r="P83" s="350">
        <f t="shared" si="16"/>
        <v>4680000</v>
      </c>
      <c r="Q83" s="363"/>
      <c r="R83" s="364"/>
    </row>
    <row r="84" spans="1:21" s="217" customFormat="1" ht="31.5" x14ac:dyDescent="0.25">
      <c r="A84" s="295">
        <v>2710000</v>
      </c>
      <c r="B84" s="191"/>
      <c r="C84" s="191"/>
      <c r="D84" s="485" t="s">
        <v>211</v>
      </c>
      <c r="E84" s="209">
        <f t="shared" ref="E84:P84" si="23">SUM(E85:E97)</f>
        <v>3965000</v>
      </c>
      <c r="F84" s="209">
        <f t="shared" si="23"/>
        <v>3965000</v>
      </c>
      <c r="G84" s="209">
        <f t="shared" si="23"/>
        <v>110700</v>
      </c>
      <c r="H84" s="209">
        <f t="shared" si="23"/>
        <v>335000</v>
      </c>
      <c r="I84" s="209">
        <f t="shared" si="23"/>
        <v>0</v>
      </c>
      <c r="J84" s="209">
        <f t="shared" si="23"/>
        <v>715000</v>
      </c>
      <c r="K84" s="209">
        <f t="shared" si="23"/>
        <v>500000</v>
      </c>
      <c r="L84" s="209">
        <f t="shared" si="23"/>
        <v>215000</v>
      </c>
      <c r="M84" s="209">
        <f t="shared" si="23"/>
        <v>110700</v>
      </c>
      <c r="N84" s="209">
        <f t="shared" si="23"/>
        <v>0</v>
      </c>
      <c r="O84" s="209">
        <f t="shared" si="23"/>
        <v>500000</v>
      </c>
      <c r="P84" s="350">
        <f t="shared" si="23"/>
        <v>4680000</v>
      </c>
      <c r="Q84" s="363"/>
      <c r="R84" s="364"/>
    </row>
    <row r="85" spans="1:21" s="96" customFormat="1" ht="31.5" x14ac:dyDescent="0.25">
      <c r="A85" s="335" t="s">
        <v>231</v>
      </c>
      <c r="B85" s="178" t="s">
        <v>117</v>
      </c>
      <c r="C85" s="178" t="s">
        <v>118</v>
      </c>
      <c r="D85" s="338" t="s">
        <v>119</v>
      </c>
      <c r="E85" s="334">
        <f t="shared" ref="E85:E91" si="24">F85</f>
        <v>380000</v>
      </c>
      <c r="F85" s="334">
        <f>SUM(G85:H85)+345000</f>
        <v>380000</v>
      </c>
      <c r="G85" s="334"/>
      <c r="H85" s="334">
        <v>35000</v>
      </c>
      <c r="I85" s="334"/>
      <c r="J85" s="333">
        <f t="shared" ref="J85:J91" si="25">L85+O85</f>
        <v>250000</v>
      </c>
      <c r="K85" s="333">
        <v>250000</v>
      </c>
      <c r="L85" s="334">
        <f t="shared" ref="L85:L91" si="26">SUM(M85:N85)</f>
        <v>0</v>
      </c>
      <c r="M85" s="334"/>
      <c r="N85" s="334"/>
      <c r="O85" s="334">
        <v>250000</v>
      </c>
      <c r="P85" s="336">
        <f t="shared" si="16"/>
        <v>630000</v>
      </c>
      <c r="R85" s="97"/>
    </row>
    <row r="86" spans="1:21" s="128" customFormat="1" ht="23.25" customHeight="1" x14ac:dyDescent="0.25">
      <c r="A86" s="335" t="s">
        <v>229</v>
      </c>
      <c r="B86" s="200">
        <v>3210</v>
      </c>
      <c r="C86" s="341">
        <v>1050</v>
      </c>
      <c r="D86" s="338" t="s">
        <v>3</v>
      </c>
      <c r="E86" s="334">
        <f t="shared" si="24"/>
        <v>135000</v>
      </c>
      <c r="F86" s="334">
        <f>SUM(G86:H86)+24300</f>
        <v>135000</v>
      </c>
      <c r="G86" s="334">
        <v>110700</v>
      </c>
      <c r="H86" s="334"/>
      <c r="I86" s="334"/>
      <c r="J86" s="333">
        <f t="shared" si="25"/>
        <v>135000</v>
      </c>
      <c r="K86" s="333"/>
      <c r="L86" s="334">
        <f>SUM(M86:N86)+24300</f>
        <v>135000</v>
      </c>
      <c r="M86" s="334">
        <v>110700</v>
      </c>
      <c r="N86" s="334"/>
      <c r="O86" s="334"/>
      <c r="P86" s="336">
        <f t="shared" si="16"/>
        <v>270000</v>
      </c>
      <c r="R86" s="85"/>
    </row>
    <row r="87" spans="1:21" s="128" customFormat="1" ht="31.5" x14ac:dyDescent="0.25">
      <c r="A87" s="178" t="s">
        <v>361</v>
      </c>
      <c r="B87" s="200">
        <v>6015</v>
      </c>
      <c r="C87" s="178" t="s">
        <v>362</v>
      </c>
      <c r="D87" s="198" t="s">
        <v>363</v>
      </c>
      <c r="E87" s="334">
        <f>F87</f>
        <v>0</v>
      </c>
      <c r="F87" s="334">
        <f>SUM(G87:H87)</f>
        <v>0</v>
      </c>
      <c r="G87" s="334"/>
      <c r="H87" s="334"/>
      <c r="I87" s="334"/>
      <c r="J87" s="333">
        <f>L87+O87</f>
        <v>250000</v>
      </c>
      <c r="K87" s="333">
        <v>250000</v>
      </c>
      <c r="L87" s="334">
        <f>SUM(M87:N87)</f>
        <v>0</v>
      </c>
      <c r="M87" s="334"/>
      <c r="N87" s="334"/>
      <c r="O87" s="334">
        <v>250000</v>
      </c>
      <c r="P87" s="336">
        <f>E87+J87</f>
        <v>250000</v>
      </c>
      <c r="R87" s="85"/>
    </row>
    <row r="88" spans="1:21" s="126" customFormat="1" x14ac:dyDescent="0.25">
      <c r="A88" s="335" t="s">
        <v>212</v>
      </c>
      <c r="B88" s="200">
        <v>6030</v>
      </c>
      <c r="C88" s="201">
        <v>620</v>
      </c>
      <c r="D88" s="338" t="s">
        <v>110</v>
      </c>
      <c r="E88" s="334">
        <f t="shared" si="24"/>
        <v>2700000</v>
      </c>
      <c r="F88" s="334">
        <f>SUM(G88:H88)+2400000</f>
        <v>2700000</v>
      </c>
      <c r="G88" s="334"/>
      <c r="H88" s="334">
        <v>300000</v>
      </c>
      <c r="I88" s="334"/>
      <c r="J88" s="333">
        <f t="shared" si="25"/>
        <v>0</v>
      </c>
      <c r="K88" s="333"/>
      <c r="L88" s="334">
        <f t="shared" si="26"/>
        <v>0</v>
      </c>
      <c r="M88" s="334"/>
      <c r="N88" s="334"/>
      <c r="O88" s="334"/>
      <c r="P88" s="336">
        <f t="shared" si="16"/>
        <v>2700000</v>
      </c>
      <c r="R88" s="127"/>
    </row>
    <row r="89" spans="1:21" s="94" customFormat="1" ht="90" hidden="1" customHeight="1" x14ac:dyDescent="0.3">
      <c r="A89" s="335" t="s">
        <v>213</v>
      </c>
      <c r="B89" s="200">
        <v>6071</v>
      </c>
      <c r="C89" s="201">
        <v>640</v>
      </c>
      <c r="D89" s="338" t="s">
        <v>111</v>
      </c>
      <c r="E89" s="334">
        <f t="shared" si="24"/>
        <v>0</v>
      </c>
      <c r="F89" s="334"/>
      <c r="G89" s="334"/>
      <c r="H89" s="334"/>
      <c r="I89" s="334"/>
      <c r="J89" s="333">
        <f t="shared" si="25"/>
        <v>0</v>
      </c>
      <c r="K89" s="333"/>
      <c r="L89" s="334">
        <f t="shared" si="26"/>
        <v>0</v>
      </c>
      <c r="M89" s="334"/>
      <c r="N89" s="334"/>
      <c r="O89" s="334"/>
      <c r="P89" s="336">
        <f t="shared" si="16"/>
        <v>0</v>
      </c>
      <c r="R89" s="95"/>
    </row>
    <row r="90" spans="1:21" s="94" customFormat="1" ht="18.75" x14ac:dyDescent="0.3">
      <c r="A90" s="335" t="s">
        <v>214</v>
      </c>
      <c r="B90" s="200">
        <v>7130</v>
      </c>
      <c r="C90" s="201">
        <v>421</v>
      </c>
      <c r="D90" s="338" t="s">
        <v>113</v>
      </c>
      <c r="E90" s="334">
        <f t="shared" si="24"/>
        <v>190000</v>
      </c>
      <c r="F90" s="334">
        <v>190000</v>
      </c>
      <c r="G90" s="334"/>
      <c r="H90" s="334"/>
      <c r="I90" s="334"/>
      <c r="J90" s="333">
        <f t="shared" si="25"/>
        <v>0</v>
      </c>
      <c r="K90" s="333"/>
      <c r="L90" s="334">
        <f t="shared" si="26"/>
        <v>0</v>
      </c>
      <c r="M90" s="334"/>
      <c r="N90" s="334"/>
      <c r="O90" s="334"/>
      <c r="P90" s="336">
        <f t="shared" si="16"/>
        <v>190000</v>
      </c>
      <c r="R90" s="95"/>
    </row>
    <row r="91" spans="1:21" s="126" customFormat="1" ht="31.5" x14ac:dyDescent="0.25">
      <c r="A91" s="335" t="s">
        <v>215</v>
      </c>
      <c r="B91" s="200">
        <v>7350</v>
      </c>
      <c r="C91" s="201">
        <v>443</v>
      </c>
      <c r="D91" s="338" t="s">
        <v>112</v>
      </c>
      <c r="E91" s="334">
        <f t="shared" si="24"/>
        <v>100000</v>
      </c>
      <c r="F91" s="334">
        <f>SUM(G91:H91)+100000</f>
        <v>100000</v>
      </c>
      <c r="G91" s="334"/>
      <c r="H91" s="334"/>
      <c r="I91" s="334"/>
      <c r="J91" s="333">
        <f t="shared" si="25"/>
        <v>0</v>
      </c>
      <c r="K91" s="333"/>
      <c r="L91" s="334">
        <f t="shared" si="26"/>
        <v>0</v>
      </c>
      <c r="M91" s="334"/>
      <c r="N91" s="334"/>
      <c r="O91" s="334"/>
      <c r="P91" s="336">
        <f t="shared" si="16"/>
        <v>100000</v>
      </c>
      <c r="R91" s="127"/>
    </row>
    <row r="92" spans="1:21" s="94" customFormat="1" ht="47.25" x14ac:dyDescent="0.3">
      <c r="A92" s="335" t="s">
        <v>216</v>
      </c>
      <c r="B92" s="200">
        <v>7461</v>
      </c>
      <c r="C92" s="201">
        <v>456</v>
      </c>
      <c r="D92" s="338" t="s">
        <v>170</v>
      </c>
      <c r="E92" s="334">
        <f>F92</f>
        <v>245000</v>
      </c>
      <c r="F92" s="334">
        <f>SUM(G92:H92)+245000</f>
        <v>245000</v>
      </c>
      <c r="G92" s="334"/>
      <c r="H92" s="334"/>
      <c r="I92" s="334"/>
      <c r="J92" s="334">
        <f>N92</f>
        <v>0</v>
      </c>
      <c r="K92" s="334"/>
      <c r="L92" s="334"/>
      <c r="M92" s="334"/>
      <c r="N92" s="334"/>
      <c r="O92" s="334"/>
      <c r="P92" s="336">
        <f t="shared" si="16"/>
        <v>245000</v>
      </c>
      <c r="R92" s="95"/>
    </row>
    <row r="93" spans="1:21" s="94" customFormat="1" ht="31.5" x14ac:dyDescent="0.3">
      <c r="A93" s="335" t="s">
        <v>347</v>
      </c>
      <c r="B93" s="200">
        <v>7520</v>
      </c>
      <c r="C93" s="201">
        <v>490</v>
      </c>
      <c r="D93" s="338" t="s">
        <v>342</v>
      </c>
      <c r="E93" s="334">
        <f>F93</f>
        <v>10000</v>
      </c>
      <c r="F93" s="334">
        <f>SUM(G93:H93)+10000</f>
        <v>10000</v>
      </c>
      <c r="G93" s="334"/>
      <c r="H93" s="334"/>
      <c r="I93" s="334"/>
      <c r="J93" s="337"/>
      <c r="K93" s="330"/>
      <c r="L93" s="330"/>
      <c r="M93" s="330"/>
      <c r="N93" s="330"/>
      <c r="O93" s="330"/>
      <c r="P93" s="336">
        <f>E93+J93</f>
        <v>10000</v>
      </c>
      <c r="R93" s="95"/>
    </row>
    <row r="94" spans="1:21" s="94" customFormat="1" ht="31.5" x14ac:dyDescent="0.3">
      <c r="A94" s="335" t="s">
        <v>217</v>
      </c>
      <c r="B94" s="200">
        <v>7610</v>
      </c>
      <c r="C94" s="201">
        <v>411</v>
      </c>
      <c r="D94" s="338" t="s">
        <v>172</v>
      </c>
      <c r="E94" s="334">
        <f>F94</f>
        <v>5000</v>
      </c>
      <c r="F94" s="334">
        <f>SUM(G94:H94)+5000</f>
        <v>5000</v>
      </c>
      <c r="G94" s="334"/>
      <c r="H94" s="334"/>
      <c r="I94" s="334"/>
      <c r="J94" s="334"/>
      <c r="K94" s="334"/>
      <c r="L94" s="334"/>
      <c r="M94" s="334"/>
      <c r="N94" s="334"/>
      <c r="O94" s="334"/>
      <c r="P94" s="336">
        <f t="shared" si="16"/>
        <v>5000</v>
      </c>
      <c r="R94" s="95"/>
    </row>
    <row r="95" spans="1:21" s="94" customFormat="1" ht="128.25" hidden="1" x14ac:dyDescent="0.25">
      <c r="A95" s="335" t="s">
        <v>230</v>
      </c>
      <c r="B95" s="200">
        <v>7630</v>
      </c>
      <c r="C95" s="201">
        <v>470</v>
      </c>
      <c r="D95" s="338" t="s">
        <v>138</v>
      </c>
      <c r="E95" s="334">
        <f>F95</f>
        <v>0</v>
      </c>
      <c r="F95" s="334"/>
      <c r="G95" s="334"/>
      <c r="H95" s="334"/>
      <c r="I95" s="334"/>
      <c r="J95" s="333"/>
      <c r="K95" s="333"/>
      <c r="L95" s="334"/>
      <c r="M95" s="334"/>
      <c r="N95" s="334"/>
      <c r="O95" s="334"/>
      <c r="P95" s="336">
        <f t="shared" si="16"/>
        <v>0</v>
      </c>
      <c r="R95" s="506" t="s">
        <v>361</v>
      </c>
      <c r="S95" s="124">
        <v>6015</v>
      </c>
      <c r="T95" s="506" t="s">
        <v>362</v>
      </c>
      <c r="U95" s="507" t="s">
        <v>363</v>
      </c>
    </row>
    <row r="96" spans="1:21" s="94" customFormat="1" ht="31.5" x14ac:dyDescent="0.3">
      <c r="A96" s="331">
        <v>2718340</v>
      </c>
      <c r="B96" s="200">
        <v>8340</v>
      </c>
      <c r="C96" s="201">
        <v>540</v>
      </c>
      <c r="D96" s="338" t="s">
        <v>171</v>
      </c>
      <c r="E96" s="359"/>
      <c r="F96" s="334">
        <f>SUM(G96:H96)</f>
        <v>0</v>
      </c>
      <c r="G96" s="333"/>
      <c r="H96" s="333"/>
      <c r="I96" s="333"/>
      <c r="J96" s="360">
        <f>L96+O96</f>
        <v>80000</v>
      </c>
      <c r="K96" s="360"/>
      <c r="L96" s="334">
        <f>SUM(M96:N96)+80000</f>
        <v>80000</v>
      </c>
      <c r="M96" s="360"/>
      <c r="N96" s="360"/>
      <c r="O96" s="360"/>
      <c r="P96" s="336">
        <f t="shared" si="16"/>
        <v>80000</v>
      </c>
      <c r="R96" s="95"/>
    </row>
    <row r="97" spans="1:255" s="94" customFormat="1" ht="31.5" x14ac:dyDescent="0.3">
      <c r="A97" s="358">
        <v>2718410</v>
      </c>
      <c r="B97" s="203">
        <v>8410</v>
      </c>
      <c r="C97" s="201">
        <v>830</v>
      </c>
      <c r="D97" s="338" t="s">
        <v>90</v>
      </c>
      <c r="E97" s="334">
        <f>SUM(F97)</f>
        <v>200000</v>
      </c>
      <c r="F97" s="334">
        <v>200000</v>
      </c>
      <c r="G97" s="334"/>
      <c r="H97" s="334"/>
      <c r="I97" s="334"/>
      <c r="J97" s="334">
        <f>L97+O97</f>
        <v>0</v>
      </c>
      <c r="K97" s="334"/>
      <c r="L97" s="334">
        <f>SUM(M97:N97)</f>
        <v>0</v>
      </c>
      <c r="M97" s="334"/>
      <c r="N97" s="334"/>
      <c r="O97" s="334"/>
      <c r="P97" s="336">
        <f t="shared" si="16"/>
        <v>200000</v>
      </c>
      <c r="R97" s="95"/>
    </row>
    <row r="98" spans="1:255" s="215" customFormat="1" x14ac:dyDescent="0.25">
      <c r="A98" s="295">
        <v>3700000</v>
      </c>
      <c r="B98" s="191"/>
      <c r="C98" s="191"/>
      <c r="D98" s="485" t="s">
        <v>80</v>
      </c>
      <c r="E98" s="209">
        <f>SUM(E99)</f>
        <v>2685000</v>
      </c>
      <c r="F98" s="209">
        <f t="shared" ref="F98:O98" si="27">SUM(F99)</f>
        <v>1785000</v>
      </c>
      <c r="G98" s="209">
        <f t="shared" si="27"/>
        <v>1381100</v>
      </c>
      <c r="H98" s="209">
        <f t="shared" si="27"/>
        <v>0</v>
      </c>
      <c r="I98" s="209">
        <f t="shared" si="27"/>
        <v>0</v>
      </c>
      <c r="J98" s="209">
        <f t="shared" si="27"/>
        <v>0</v>
      </c>
      <c r="K98" s="209">
        <f t="shared" si="27"/>
        <v>0</v>
      </c>
      <c r="L98" s="209">
        <f t="shared" si="27"/>
        <v>0</v>
      </c>
      <c r="M98" s="209">
        <f t="shared" si="27"/>
        <v>0</v>
      </c>
      <c r="N98" s="209">
        <f t="shared" si="27"/>
        <v>0</v>
      </c>
      <c r="O98" s="209">
        <f t="shared" si="27"/>
        <v>0</v>
      </c>
      <c r="P98" s="350">
        <f t="shared" si="16"/>
        <v>2685000</v>
      </c>
      <c r="R98" s="216"/>
    </row>
    <row r="99" spans="1:255" s="215" customFormat="1" x14ac:dyDescent="0.25">
      <c r="A99" s="295">
        <v>3710000</v>
      </c>
      <c r="B99" s="191"/>
      <c r="C99" s="191"/>
      <c r="D99" s="485" t="s">
        <v>80</v>
      </c>
      <c r="E99" s="209">
        <f>SUM(E100:E102)</f>
        <v>2685000</v>
      </c>
      <c r="F99" s="209">
        <f>SUM(F100:F102)</f>
        <v>1785000</v>
      </c>
      <c r="G99" s="209">
        <f t="shared" ref="G99:P99" si="28">SUM(G100:G102)</f>
        <v>1381100</v>
      </c>
      <c r="H99" s="209">
        <f t="shared" si="28"/>
        <v>0</v>
      </c>
      <c r="I99" s="209">
        <f t="shared" si="28"/>
        <v>0</v>
      </c>
      <c r="J99" s="209">
        <f t="shared" si="28"/>
        <v>0</v>
      </c>
      <c r="K99" s="209">
        <f t="shared" si="28"/>
        <v>0</v>
      </c>
      <c r="L99" s="209">
        <f t="shared" si="28"/>
        <v>0</v>
      </c>
      <c r="M99" s="209">
        <f t="shared" si="28"/>
        <v>0</v>
      </c>
      <c r="N99" s="209">
        <f t="shared" si="28"/>
        <v>0</v>
      </c>
      <c r="O99" s="209">
        <f t="shared" si="28"/>
        <v>0</v>
      </c>
      <c r="P99" s="209">
        <f t="shared" si="28"/>
        <v>2685000</v>
      </c>
      <c r="Q99" s="363"/>
      <c r="R99" s="364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  <c r="AV99" s="217"/>
      <c r="AW99" s="217"/>
      <c r="AX99" s="217"/>
      <c r="AY99" s="217"/>
      <c r="AZ99" s="217"/>
      <c r="BA99" s="217"/>
      <c r="BB99" s="217"/>
      <c r="BC99" s="217"/>
      <c r="BD99" s="217"/>
      <c r="BE99" s="217"/>
      <c r="BF99" s="217"/>
      <c r="BG99" s="217"/>
      <c r="BH99" s="217"/>
      <c r="BI99" s="217"/>
      <c r="BJ99" s="217"/>
      <c r="BK99" s="217"/>
      <c r="BL99" s="217"/>
      <c r="BM99" s="217"/>
      <c r="BN99" s="217"/>
      <c r="BO99" s="217"/>
      <c r="BP99" s="217"/>
      <c r="BQ99" s="217"/>
      <c r="BR99" s="217"/>
      <c r="BS99" s="217"/>
      <c r="BT99" s="217"/>
      <c r="BU99" s="217"/>
      <c r="BV99" s="217"/>
      <c r="BW99" s="217"/>
      <c r="BX99" s="217"/>
      <c r="BY99" s="217"/>
      <c r="BZ99" s="217"/>
      <c r="CA99" s="217"/>
      <c r="CB99" s="217"/>
      <c r="CC99" s="217"/>
      <c r="CD99" s="217"/>
      <c r="CE99" s="217"/>
      <c r="CF99" s="217"/>
      <c r="CG99" s="217"/>
      <c r="CH99" s="217"/>
      <c r="CI99" s="217"/>
      <c r="CJ99" s="217"/>
      <c r="CK99" s="217"/>
      <c r="CL99" s="217"/>
      <c r="CM99" s="217"/>
      <c r="CN99" s="217"/>
      <c r="CO99" s="217"/>
      <c r="CP99" s="217"/>
      <c r="CQ99" s="217"/>
      <c r="CR99" s="217"/>
      <c r="CS99" s="217"/>
      <c r="CT99" s="217"/>
      <c r="CU99" s="217"/>
      <c r="CV99" s="217"/>
      <c r="CW99" s="217"/>
      <c r="CX99" s="217"/>
      <c r="CY99" s="217"/>
      <c r="CZ99" s="217"/>
      <c r="DA99" s="217"/>
      <c r="DB99" s="217"/>
      <c r="DC99" s="217"/>
      <c r="DD99" s="217"/>
      <c r="DE99" s="217"/>
      <c r="DF99" s="217"/>
      <c r="DG99" s="217"/>
      <c r="DH99" s="217"/>
      <c r="DI99" s="217"/>
      <c r="DJ99" s="217"/>
      <c r="DK99" s="217"/>
      <c r="DL99" s="217"/>
      <c r="DM99" s="217"/>
      <c r="DN99" s="217"/>
      <c r="DO99" s="217"/>
      <c r="DP99" s="217"/>
      <c r="DQ99" s="217"/>
      <c r="DR99" s="217"/>
      <c r="DS99" s="217"/>
      <c r="DT99" s="217"/>
      <c r="DU99" s="217"/>
      <c r="DV99" s="217"/>
      <c r="DW99" s="217"/>
      <c r="DX99" s="217"/>
      <c r="DY99" s="217"/>
      <c r="DZ99" s="217"/>
      <c r="EA99" s="217"/>
      <c r="EB99" s="217"/>
      <c r="EC99" s="217"/>
      <c r="ED99" s="217"/>
      <c r="EE99" s="217"/>
      <c r="EF99" s="217"/>
      <c r="EG99" s="217"/>
      <c r="EH99" s="217"/>
      <c r="EI99" s="217"/>
      <c r="EJ99" s="217"/>
      <c r="EK99" s="217"/>
      <c r="EL99" s="217"/>
      <c r="EM99" s="217"/>
      <c r="EN99" s="217"/>
      <c r="EO99" s="217"/>
      <c r="EP99" s="217"/>
      <c r="EQ99" s="217"/>
      <c r="ER99" s="217"/>
      <c r="ES99" s="217"/>
      <c r="ET99" s="217"/>
      <c r="EU99" s="217"/>
      <c r="EV99" s="217"/>
      <c r="EW99" s="217"/>
      <c r="EX99" s="217"/>
      <c r="EY99" s="217"/>
      <c r="EZ99" s="217"/>
      <c r="FA99" s="217"/>
      <c r="FB99" s="217"/>
      <c r="FC99" s="217"/>
      <c r="FD99" s="217"/>
      <c r="FE99" s="217"/>
      <c r="FF99" s="217"/>
      <c r="FG99" s="217"/>
      <c r="FH99" s="217"/>
      <c r="FI99" s="217"/>
      <c r="FJ99" s="217"/>
      <c r="FK99" s="217"/>
      <c r="FL99" s="217"/>
      <c r="FM99" s="217"/>
      <c r="FN99" s="217"/>
      <c r="FO99" s="217"/>
      <c r="FP99" s="217"/>
      <c r="FQ99" s="217"/>
      <c r="FR99" s="217"/>
      <c r="FS99" s="217"/>
      <c r="FT99" s="217"/>
      <c r="FU99" s="217"/>
      <c r="FV99" s="217"/>
      <c r="FW99" s="217"/>
      <c r="FX99" s="217"/>
      <c r="FY99" s="217"/>
      <c r="FZ99" s="217"/>
      <c r="GA99" s="217"/>
      <c r="GB99" s="217"/>
      <c r="GC99" s="217"/>
      <c r="GD99" s="217"/>
      <c r="GE99" s="217"/>
      <c r="GF99" s="217"/>
      <c r="GG99" s="217"/>
      <c r="GH99" s="217"/>
      <c r="GI99" s="217"/>
      <c r="GJ99" s="217"/>
      <c r="GK99" s="217"/>
      <c r="GL99" s="217"/>
      <c r="GM99" s="217"/>
      <c r="GN99" s="217"/>
      <c r="GO99" s="217"/>
      <c r="GP99" s="217"/>
      <c r="GQ99" s="217"/>
      <c r="GR99" s="217"/>
      <c r="GS99" s="217"/>
      <c r="GT99" s="217"/>
      <c r="GU99" s="217"/>
      <c r="GV99" s="217"/>
      <c r="GW99" s="217"/>
      <c r="GX99" s="217"/>
      <c r="GY99" s="217"/>
      <c r="GZ99" s="217"/>
      <c r="HA99" s="217"/>
      <c r="HB99" s="217"/>
      <c r="HC99" s="217"/>
      <c r="HD99" s="217"/>
      <c r="HE99" s="217"/>
      <c r="HF99" s="217"/>
      <c r="HG99" s="217"/>
      <c r="HH99" s="217"/>
      <c r="HI99" s="217"/>
      <c r="HJ99" s="217"/>
      <c r="HK99" s="217"/>
      <c r="HL99" s="217"/>
      <c r="HM99" s="217"/>
      <c r="HN99" s="217"/>
      <c r="HO99" s="217"/>
      <c r="HP99" s="217"/>
      <c r="HQ99" s="217"/>
      <c r="HR99" s="217"/>
      <c r="HS99" s="217"/>
      <c r="HT99" s="217"/>
      <c r="HU99" s="217"/>
      <c r="HV99" s="217"/>
      <c r="HW99" s="217"/>
      <c r="HX99" s="217"/>
      <c r="HY99" s="217"/>
      <c r="HZ99" s="217"/>
      <c r="IA99" s="217"/>
      <c r="IB99" s="217"/>
      <c r="IC99" s="217"/>
      <c r="ID99" s="217"/>
      <c r="IE99" s="217"/>
      <c r="IF99" s="217"/>
      <c r="IG99" s="217"/>
      <c r="IH99" s="217"/>
      <c r="II99" s="217"/>
      <c r="IJ99" s="217"/>
      <c r="IK99" s="217"/>
      <c r="IL99" s="217"/>
      <c r="IM99" s="217"/>
      <c r="IN99" s="217"/>
      <c r="IO99" s="217"/>
      <c r="IP99" s="217"/>
      <c r="IQ99" s="217"/>
      <c r="IR99" s="217"/>
      <c r="IS99" s="217"/>
      <c r="IT99" s="217"/>
      <c r="IU99" s="217"/>
    </row>
    <row r="100" spans="1:255" s="128" customFormat="1" ht="47.25" x14ac:dyDescent="0.25">
      <c r="A100" s="358">
        <v>3710160</v>
      </c>
      <c r="B100" s="203">
        <v>160</v>
      </c>
      <c r="C100" s="201">
        <v>111</v>
      </c>
      <c r="D100" s="338" t="s">
        <v>210</v>
      </c>
      <c r="E100" s="334">
        <f>SUM(F100)</f>
        <v>1760000</v>
      </c>
      <c r="F100" s="334">
        <f>SUM(G100:H100)+303900+75000</f>
        <v>1760000</v>
      </c>
      <c r="G100" s="334">
        <v>1381100</v>
      </c>
      <c r="H100" s="334"/>
      <c r="I100" s="334"/>
      <c r="J100" s="333">
        <f>L100+O100</f>
        <v>0</v>
      </c>
      <c r="K100" s="334"/>
      <c r="L100" s="334">
        <f>SUM(M100:N100)</f>
        <v>0</v>
      </c>
      <c r="M100" s="334"/>
      <c r="N100" s="334"/>
      <c r="O100" s="334"/>
      <c r="P100" s="336">
        <f t="shared" si="16"/>
        <v>1760000</v>
      </c>
      <c r="R100" s="85"/>
    </row>
    <row r="101" spans="1:255" s="94" customFormat="1" ht="31.5" x14ac:dyDescent="0.3">
      <c r="A101" s="335" t="s">
        <v>348</v>
      </c>
      <c r="B101" s="200">
        <v>7520</v>
      </c>
      <c r="C101" s="201">
        <v>490</v>
      </c>
      <c r="D101" s="338" t="s">
        <v>342</v>
      </c>
      <c r="E101" s="334">
        <f>F101</f>
        <v>25000</v>
      </c>
      <c r="F101" s="334">
        <f>SUM(G101:H101)+25000</f>
        <v>25000</v>
      </c>
      <c r="G101" s="334"/>
      <c r="H101" s="334"/>
      <c r="I101" s="334"/>
      <c r="J101" s="337"/>
      <c r="K101" s="330"/>
      <c r="L101" s="330"/>
      <c r="M101" s="330"/>
      <c r="N101" s="330"/>
      <c r="O101" s="330"/>
      <c r="P101" s="336">
        <f>E101+J101</f>
        <v>25000</v>
      </c>
      <c r="R101" s="95"/>
    </row>
    <row r="102" spans="1:255" s="84" customFormat="1" ht="18.75" thickBot="1" x14ac:dyDescent="0.3">
      <c r="A102" s="358">
        <v>3718700</v>
      </c>
      <c r="B102" s="200">
        <v>8700</v>
      </c>
      <c r="C102" s="201">
        <v>133</v>
      </c>
      <c r="D102" s="338" t="s">
        <v>87</v>
      </c>
      <c r="E102" s="334">
        <v>900000</v>
      </c>
      <c r="F102" s="334"/>
      <c r="G102" s="334"/>
      <c r="H102" s="334"/>
      <c r="I102" s="334"/>
      <c r="J102" s="334">
        <f>L102+O102</f>
        <v>0</v>
      </c>
      <c r="K102" s="334"/>
      <c r="L102" s="334">
        <f>SUM(M102:N102)</f>
        <v>0</v>
      </c>
      <c r="M102" s="334"/>
      <c r="N102" s="334"/>
      <c r="O102" s="334"/>
      <c r="P102" s="336">
        <f>E102+J102</f>
        <v>900000</v>
      </c>
      <c r="R102" s="85"/>
    </row>
    <row r="103" spans="1:255" s="98" customFormat="1" ht="18.75" hidden="1" thickBot="1" x14ac:dyDescent="0.3">
      <c r="A103" s="352">
        <v>3719110</v>
      </c>
      <c r="B103" s="353">
        <v>9110</v>
      </c>
      <c r="C103" s="354">
        <v>180</v>
      </c>
      <c r="D103" s="198" t="s">
        <v>5</v>
      </c>
      <c r="E103" s="334"/>
      <c r="F103" s="334">
        <f>SUM(G103:H103)</f>
        <v>0</v>
      </c>
      <c r="G103" s="334"/>
      <c r="H103" s="334"/>
      <c r="I103" s="334"/>
      <c r="J103" s="334">
        <f>L103+O103</f>
        <v>0</v>
      </c>
      <c r="K103" s="334"/>
      <c r="L103" s="334">
        <f>SUM(M103:N103)</f>
        <v>0</v>
      </c>
      <c r="M103" s="334"/>
      <c r="N103" s="334"/>
      <c r="O103" s="334"/>
      <c r="P103" s="336">
        <f>E103+J103</f>
        <v>0</v>
      </c>
      <c r="Q103" s="76"/>
      <c r="R103" s="113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6"/>
      <c r="BJ103" s="76"/>
      <c r="BK103" s="76"/>
      <c r="BL103" s="76"/>
      <c r="BM103" s="76"/>
      <c r="BN103" s="76"/>
      <c r="BO103" s="76"/>
      <c r="BP103" s="76"/>
      <c r="BQ103" s="76"/>
      <c r="BR103" s="76"/>
      <c r="BS103" s="76"/>
      <c r="BT103" s="76"/>
      <c r="BU103" s="76"/>
      <c r="BV103" s="76"/>
      <c r="BW103" s="76"/>
      <c r="BX103" s="76"/>
      <c r="BY103" s="76"/>
      <c r="BZ103" s="76"/>
      <c r="CA103" s="76"/>
      <c r="CB103" s="76"/>
      <c r="CC103" s="76"/>
      <c r="CD103" s="76"/>
      <c r="CE103" s="76"/>
      <c r="CF103" s="76"/>
      <c r="CG103" s="76"/>
      <c r="CH103" s="76"/>
      <c r="CI103" s="76"/>
      <c r="CJ103" s="76"/>
      <c r="CK103" s="76"/>
      <c r="CL103" s="76"/>
      <c r="CM103" s="76"/>
      <c r="CN103" s="76"/>
      <c r="CO103" s="76"/>
      <c r="CP103" s="76"/>
      <c r="CQ103" s="76"/>
      <c r="CR103" s="76"/>
      <c r="CS103" s="76"/>
      <c r="CT103" s="76"/>
      <c r="CU103" s="76"/>
      <c r="CV103" s="76"/>
      <c r="CW103" s="76"/>
      <c r="CX103" s="76"/>
      <c r="CY103" s="76"/>
      <c r="CZ103" s="76"/>
      <c r="DA103" s="76"/>
      <c r="DB103" s="76"/>
      <c r="DC103" s="76"/>
      <c r="DD103" s="76"/>
      <c r="DE103" s="76"/>
      <c r="DF103" s="76"/>
      <c r="DG103" s="76"/>
      <c r="DH103" s="76"/>
      <c r="DI103" s="76"/>
      <c r="DJ103" s="76"/>
      <c r="DK103" s="76"/>
      <c r="DL103" s="76"/>
      <c r="DM103" s="76"/>
      <c r="DN103" s="76"/>
      <c r="DO103" s="76"/>
      <c r="DP103" s="76"/>
      <c r="DQ103" s="76"/>
      <c r="DR103" s="76"/>
      <c r="DS103" s="76"/>
      <c r="DT103" s="76"/>
      <c r="DU103" s="76"/>
      <c r="DV103" s="76"/>
      <c r="DW103" s="76"/>
      <c r="DX103" s="76"/>
      <c r="DY103" s="76"/>
      <c r="DZ103" s="76"/>
      <c r="EA103" s="76"/>
      <c r="EB103" s="76"/>
      <c r="EC103" s="76"/>
      <c r="ED103" s="76"/>
      <c r="EE103" s="76"/>
      <c r="EF103" s="76"/>
      <c r="EG103" s="76"/>
      <c r="EH103" s="76"/>
      <c r="EI103" s="76"/>
      <c r="EJ103" s="76"/>
      <c r="EK103" s="76"/>
      <c r="EL103" s="76"/>
      <c r="EM103" s="76"/>
      <c r="EN103" s="76"/>
      <c r="EO103" s="76"/>
      <c r="EP103" s="76"/>
      <c r="EQ103" s="76"/>
      <c r="ER103" s="76"/>
      <c r="ES103" s="76"/>
      <c r="ET103" s="76"/>
      <c r="EU103" s="76"/>
      <c r="EV103" s="76"/>
      <c r="EW103" s="76"/>
      <c r="EX103" s="76"/>
      <c r="EY103" s="76"/>
      <c r="EZ103" s="76"/>
      <c r="FA103" s="76"/>
      <c r="FB103" s="76"/>
      <c r="FC103" s="76"/>
      <c r="FD103" s="76"/>
      <c r="FE103" s="76"/>
      <c r="FF103" s="76"/>
      <c r="FG103" s="76"/>
      <c r="FH103" s="76"/>
      <c r="FI103" s="76"/>
      <c r="FJ103" s="76"/>
      <c r="FK103" s="76"/>
      <c r="FL103" s="76"/>
      <c r="FM103" s="76"/>
      <c r="FN103" s="76"/>
      <c r="FO103" s="76"/>
      <c r="FP103" s="76"/>
      <c r="FQ103" s="76"/>
      <c r="FR103" s="76"/>
      <c r="FS103" s="76"/>
      <c r="FT103" s="76"/>
      <c r="FU103" s="76"/>
      <c r="FV103" s="76"/>
      <c r="FW103" s="76"/>
      <c r="FX103" s="76"/>
      <c r="FY103" s="76"/>
      <c r="FZ103" s="76"/>
      <c r="GA103" s="76"/>
      <c r="GB103" s="76"/>
      <c r="GC103" s="76"/>
      <c r="GD103" s="76"/>
      <c r="GE103" s="76"/>
      <c r="GF103" s="76"/>
      <c r="GG103" s="76"/>
      <c r="GH103" s="76"/>
      <c r="GI103" s="76"/>
      <c r="GJ103" s="76"/>
      <c r="GK103" s="76"/>
      <c r="GL103" s="76"/>
      <c r="GM103" s="76"/>
      <c r="GN103" s="76"/>
      <c r="GO103" s="76"/>
      <c r="GP103" s="76"/>
      <c r="GQ103" s="76"/>
      <c r="GR103" s="76"/>
      <c r="GS103" s="76"/>
      <c r="GT103" s="76"/>
      <c r="GU103" s="76"/>
      <c r="GV103" s="76"/>
      <c r="GW103" s="76"/>
      <c r="GX103" s="76"/>
      <c r="GY103" s="76"/>
      <c r="GZ103" s="76"/>
      <c r="HA103" s="76"/>
      <c r="HB103" s="76"/>
      <c r="HC103" s="76"/>
      <c r="HD103" s="76"/>
      <c r="HE103" s="76"/>
      <c r="HF103" s="76"/>
      <c r="HG103" s="76"/>
      <c r="HH103" s="76"/>
      <c r="HI103" s="76"/>
      <c r="HJ103" s="76"/>
      <c r="HK103" s="76"/>
      <c r="HL103" s="76"/>
      <c r="HM103" s="76"/>
      <c r="HN103" s="76"/>
      <c r="HO103" s="76"/>
      <c r="HP103" s="76"/>
      <c r="HQ103" s="76"/>
      <c r="HR103" s="76"/>
      <c r="HS103" s="76"/>
      <c r="HT103" s="76"/>
      <c r="HU103" s="76"/>
      <c r="HV103" s="76"/>
      <c r="HW103" s="76"/>
      <c r="HX103" s="76"/>
      <c r="HY103" s="76"/>
      <c r="HZ103" s="76"/>
      <c r="IA103" s="76"/>
      <c r="IB103" s="76"/>
      <c r="IC103" s="76"/>
      <c r="ID103" s="76"/>
      <c r="IE103" s="76"/>
      <c r="IF103" s="76"/>
      <c r="IG103" s="76"/>
      <c r="IH103" s="76"/>
      <c r="II103" s="76"/>
      <c r="IJ103" s="76"/>
      <c r="IK103" s="76"/>
      <c r="IL103" s="76"/>
      <c r="IM103" s="76"/>
      <c r="IN103" s="76"/>
      <c r="IO103" s="76"/>
      <c r="IP103" s="76"/>
      <c r="IQ103" s="76"/>
      <c r="IR103" s="76"/>
      <c r="IS103" s="76"/>
      <c r="IT103" s="76"/>
      <c r="IU103" s="76"/>
    </row>
    <row r="104" spans="1:255" s="365" customFormat="1" ht="32.25" customHeight="1" thickBot="1" x14ac:dyDescent="0.25">
      <c r="A104" s="288" t="s">
        <v>159</v>
      </c>
      <c r="B104" s="288" t="s">
        <v>159</v>
      </c>
      <c r="C104" s="288" t="s">
        <v>159</v>
      </c>
      <c r="D104" s="355" t="s">
        <v>281</v>
      </c>
      <c r="E104" s="356">
        <f t="shared" ref="E104:P104" si="29">E11+E41+E52+E62+E72+E83+E98</f>
        <v>92174500</v>
      </c>
      <c r="F104" s="356">
        <f t="shared" si="29"/>
        <v>91274500</v>
      </c>
      <c r="G104" s="356">
        <f t="shared" si="29"/>
        <v>54331800</v>
      </c>
      <c r="H104" s="356">
        <f t="shared" si="29"/>
        <v>7866400</v>
      </c>
      <c r="I104" s="356">
        <f t="shared" si="29"/>
        <v>0</v>
      </c>
      <c r="J104" s="356">
        <f t="shared" si="29"/>
        <v>3562800</v>
      </c>
      <c r="K104" s="356">
        <f t="shared" si="29"/>
        <v>632800</v>
      </c>
      <c r="L104" s="356">
        <f t="shared" si="29"/>
        <v>2777000</v>
      </c>
      <c r="M104" s="356">
        <f t="shared" si="29"/>
        <v>368400</v>
      </c>
      <c r="N104" s="356">
        <f t="shared" si="29"/>
        <v>25000</v>
      </c>
      <c r="O104" s="356">
        <f t="shared" si="29"/>
        <v>785800</v>
      </c>
      <c r="P104" s="357">
        <f t="shared" si="29"/>
        <v>95737300</v>
      </c>
      <c r="R104" s="366"/>
    </row>
    <row r="105" spans="1:255" ht="5.25" customHeight="1" x14ac:dyDescent="0.25">
      <c r="D105" s="275"/>
    </row>
    <row r="106" spans="1:255" ht="12" customHeight="1" x14ac:dyDescent="0.25">
      <c r="E106" s="75"/>
      <c r="J106" s="75"/>
      <c r="K106" s="75"/>
    </row>
    <row r="107" spans="1:255" ht="24" customHeight="1" x14ac:dyDescent="0.3">
      <c r="A107" s="87"/>
      <c r="D107" s="547" t="s">
        <v>379</v>
      </c>
      <c r="E107" s="547"/>
      <c r="F107" s="547"/>
      <c r="G107" s="547"/>
      <c r="H107" s="547"/>
      <c r="I107" s="547"/>
      <c r="J107" s="547"/>
      <c r="K107" s="547"/>
      <c r="L107" s="547"/>
      <c r="M107" s="547"/>
      <c r="N107" s="547"/>
    </row>
    <row r="108" spans="1:255" x14ac:dyDescent="0.25">
      <c r="A108" s="87"/>
      <c r="E108" s="75">
        <f>E104</f>
        <v>92174500</v>
      </c>
      <c r="J108" s="75">
        <f>J104</f>
        <v>3562800</v>
      </c>
      <c r="K108" s="75"/>
      <c r="P108" s="75">
        <f>E108+J108</f>
        <v>95737300</v>
      </c>
    </row>
    <row r="109" spans="1:255" x14ac:dyDescent="0.25">
      <c r="E109" s="75">
        <f>дод.1!D122-дод.3!E104</f>
        <v>132800</v>
      </c>
    </row>
    <row r="110" spans="1:255" x14ac:dyDescent="0.25">
      <c r="B110" s="542"/>
      <c r="C110" s="542"/>
      <c r="D110" s="542"/>
      <c r="E110" s="542"/>
      <c r="F110" s="542"/>
      <c r="G110" s="542"/>
      <c r="H110" s="542"/>
      <c r="J110" s="543"/>
      <c r="K110" s="543"/>
      <c r="L110" s="543"/>
      <c r="M110" s="543"/>
      <c r="N110" s="543"/>
      <c r="O110" s="543"/>
    </row>
    <row r="111" spans="1:255" x14ac:dyDescent="0.25">
      <c r="E111" s="75">
        <f>дод.1!D122-дод.3!E104</f>
        <v>132800</v>
      </c>
      <c r="J111" s="75">
        <f>J104-K104-J96</f>
        <v>2850000</v>
      </c>
      <c r="K111" s="75"/>
    </row>
    <row r="112" spans="1:255" x14ac:dyDescent="0.25">
      <c r="E112" s="101"/>
    </row>
    <row r="113" spans="5:22" x14ac:dyDescent="0.25">
      <c r="E113" s="75"/>
      <c r="V113" s="120"/>
    </row>
  </sheetData>
  <mergeCells count="26">
    <mergeCell ref="O7:O9"/>
    <mergeCell ref="M8:M9"/>
    <mergeCell ref="I7:I9"/>
    <mergeCell ref="J7:J9"/>
    <mergeCell ref="L7:L9"/>
    <mergeCell ref="K7:K9"/>
    <mergeCell ref="H8:H9"/>
    <mergeCell ref="B110:H110"/>
    <mergeCell ref="J110:O110"/>
    <mergeCell ref="A6:A9"/>
    <mergeCell ref="N8:N9"/>
    <mergeCell ref="M7:N7"/>
    <mergeCell ref="G7:H7"/>
    <mergeCell ref="D107:N107"/>
    <mergeCell ref="E7:E9"/>
    <mergeCell ref="G8:G9"/>
    <mergeCell ref="A3:B3"/>
    <mergeCell ref="L1:P1"/>
    <mergeCell ref="P6:P9"/>
    <mergeCell ref="F7:F9"/>
    <mergeCell ref="B2:P2"/>
    <mergeCell ref="E6:I6"/>
    <mergeCell ref="J6:O6"/>
    <mergeCell ref="B6:B9"/>
    <mergeCell ref="C6:C9"/>
    <mergeCell ref="D6:D9"/>
  </mergeCells>
  <phoneticPr fontId="48" type="noConversion"/>
  <printOptions horizontalCentered="1"/>
  <pageMargins left="0.19685039370078741" right="0.19685039370078741" top="0.98425196850393704" bottom="0.39370078740157483" header="0.51181102362204722" footer="0.19685039370078741"/>
  <pageSetup paperSize="9" scale="68" orientation="landscape" r:id="rId1"/>
  <headerFooter alignWithMargins="0">
    <oddFooter>&amp;R&amp;P</oddFooter>
  </headerFooter>
  <ignoredErrors>
    <ignoredError sqref="F32 E57" formula="1"/>
    <ignoredError sqref="A67:B67 A52:C53 B102:C103 A62:C63 C59 C13 C32 A56:C56 C67:C69 A41:C42 A98:C100 B20:C20 A44:C47 A58:B58 B34:C34 A69:B6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60"/>
  <sheetViews>
    <sheetView showZeros="0" view="pageBreakPreview" topLeftCell="A7" zoomScale="89" zoomScaleNormal="100" zoomScaleSheetLayoutView="89" workbookViewId="0">
      <selection activeCell="C16" sqref="C16"/>
    </sheetView>
  </sheetViews>
  <sheetFormatPr defaultColWidth="9.1640625" defaultRowHeight="12.75" x14ac:dyDescent="0.2"/>
  <cols>
    <col min="1" max="1" width="19.6640625" style="136" customWidth="1"/>
    <col min="2" max="2" width="35.6640625" style="136" customWidth="1"/>
    <col min="3" max="3" width="25.1640625" style="136" customWidth="1"/>
    <col min="4" max="4" width="25.83203125" style="136" customWidth="1"/>
    <col min="5" max="5" width="20.1640625" style="136" customWidth="1"/>
    <col min="6" max="10" width="15.83203125" style="136" hidden="1" customWidth="1"/>
    <col min="11" max="11" width="16.33203125" style="136" customWidth="1"/>
    <col min="12" max="12" width="16" style="136" customWidth="1"/>
    <col min="13" max="13" width="9.6640625" style="136" customWidth="1"/>
    <col min="14" max="14" width="21.1640625" style="136" customWidth="1"/>
    <col min="15" max="15" width="12.33203125" style="136" customWidth="1"/>
    <col min="16" max="16" width="16" style="136" customWidth="1"/>
    <col min="17" max="19" width="15.83203125" style="136" customWidth="1"/>
    <col min="20" max="20" width="18.33203125" style="136" customWidth="1"/>
    <col min="21" max="21" width="23.33203125" style="136" customWidth="1"/>
    <col min="22" max="22" width="18.6640625" style="136" customWidth="1"/>
    <col min="23" max="23" width="18.33203125" style="136" customWidth="1"/>
    <col min="24" max="24" width="21.33203125" style="136" customWidth="1"/>
    <col min="25" max="25" width="24.5" style="136" customWidth="1"/>
    <col min="26" max="26" width="21.33203125" style="136" customWidth="1"/>
    <col min="27" max="27" width="19.1640625" style="136" customWidth="1"/>
    <col min="28" max="28" width="19.33203125" style="136" customWidth="1"/>
    <col min="29" max="29" width="21.6640625" style="136" customWidth="1"/>
    <col min="30" max="30" width="19.33203125" style="136" customWidth="1"/>
    <col min="31" max="31" width="26.1640625" style="136" customWidth="1"/>
    <col min="32" max="32" width="37.33203125" style="136" customWidth="1"/>
    <col min="33" max="33" width="17.1640625" style="136" customWidth="1"/>
    <col min="34" max="34" width="20.1640625" style="136" customWidth="1"/>
    <col min="35" max="16384" width="9.1640625" style="136"/>
  </cols>
  <sheetData>
    <row r="1" spans="1:19" ht="76.5" customHeight="1" x14ac:dyDescent="0.2"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569" t="s">
        <v>391</v>
      </c>
      <c r="N1" s="569"/>
      <c r="O1" s="569"/>
      <c r="P1" s="569"/>
    </row>
    <row r="2" spans="1:19" ht="31.5" customHeight="1" x14ac:dyDescent="0.2">
      <c r="A2" s="568" t="s">
        <v>282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155"/>
      <c r="R2" s="155"/>
      <c r="S2" s="155"/>
    </row>
    <row r="3" spans="1:19" ht="18.75" x14ac:dyDescent="0.2">
      <c r="A3" s="524">
        <v>24533000000</v>
      </c>
      <c r="B3" s="524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155"/>
      <c r="R3" s="155"/>
      <c r="S3" s="155"/>
    </row>
    <row r="4" spans="1:19" ht="20.25" x14ac:dyDescent="0.2">
      <c r="A4" s="287" t="s">
        <v>287</v>
      </c>
      <c r="B4" s="286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155"/>
      <c r="R4" s="155"/>
      <c r="S4" s="155"/>
    </row>
    <row r="5" spans="1:19" ht="18" customHeight="1" x14ac:dyDescent="0.2">
      <c r="A5" s="139"/>
      <c r="P5" s="140" t="s">
        <v>76</v>
      </c>
      <c r="Q5" s="141"/>
      <c r="R5" s="141"/>
      <c r="S5" s="142"/>
    </row>
    <row r="6" spans="1:19" s="143" customFormat="1" ht="29.45" customHeight="1" x14ac:dyDescent="0.25">
      <c r="A6" s="570" t="s">
        <v>6</v>
      </c>
      <c r="B6" s="570" t="s">
        <v>166</v>
      </c>
      <c r="C6" s="557" t="s">
        <v>160</v>
      </c>
      <c r="D6" s="557"/>
      <c r="E6" s="557"/>
      <c r="F6" s="557"/>
      <c r="G6" s="557"/>
      <c r="H6" s="557"/>
      <c r="I6" s="557"/>
      <c r="J6" s="557"/>
      <c r="K6" s="557"/>
      <c r="L6" s="557"/>
      <c r="M6" s="557" t="s">
        <v>218</v>
      </c>
      <c r="N6" s="557"/>
      <c r="O6" s="557"/>
      <c r="P6" s="557"/>
      <c r="Q6" s="567"/>
      <c r="R6" s="567"/>
      <c r="S6" s="567"/>
    </row>
    <row r="7" spans="1:19" s="143" customFormat="1" ht="23.25" customHeight="1" x14ac:dyDescent="0.25">
      <c r="A7" s="571"/>
      <c r="B7" s="571"/>
      <c r="C7" s="557" t="s">
        <v>161</v>
      </c>
      <c r="D7" s="562" t="s">
        <v>162</v>
      </c>
      <c r="E7" s="563"/>
      <c r="F7" s="563"/>
      <c r="G7" s="563"/>
      <c r="H7" s="563"/>
      <c r="I7" s="563"/>
      <c r="J7" s="563"/>
      <c r="K7" s="564"/>
      <c r="L7" s="554" t="s">
        <v>156</v>
      </c>
      <c r="M7" s="573" t="s">
        <v>161</v>
      </c>
      <c r="N7" s="557" t="s">
        <v>162</v>
      </c>
      <c r="O7" s="557"/>
      <c r="P7" s="554" t="s">
        <v>156</v>
      </c>
      <c r="Q7" s="151"/>
      <c r="R7" s="151"/>
      <c r="S7" s="151"/>
    </row>
    <row r="8" spans="1:19" s="143" customFormat="1" ht="51" customHeight="1" x14ac:dyDescent="0.25">
      <c r="A8" s="571"/>
      <c r="B8" s="571"/>
      <c r="C8" s="557"/>
      <c r="D8" s="562" t="s">
        <v>164</v>
      </c>
      <c r="E8" s="563"/>
      <c r="F8" s="563"/>
      <c r="G8" s="563"/>
      <c r="H8" s="563"/>
      <c r="I8" s="563"/>
      <c r="J8" s="564"/>
      <c r="K8" s="152" t="s">
        <v>165</v>
      </c>
      <c r="L8" s="556"/>
      <c r="M8" s="574"/>
      <c r="N8" s="134" t="s">
        <v>164</v>
      </c>
      <c r="O8" s="152" t="s">
        <v>165</v>
      </c>
      <c r="P8" s="555"/>
      <c r="Q8" s="567"/>
      <c r="R8" s="567"/>
      <c r="S8" s="567"/>
    </row>
    <row r="9" spans="1:19" s="143" customFormat="1" ht="26.25" customHeight="1" x14ac:dyDescent="0.25">
      <c r="A9" s="571"/>
      <c r="B9" s="571"/>
      <c r="C9" s="558" t="s">
        <v>163</v>
      </c>
      <c r="D9" s="559"/>
      <c r="E9" s="559"/>
      <c r="F9" s="559"/>
      <c r="G9" s="559"/>
      <c r="H9" s="559"/>
      <c r="I9" s="559"/>
      <c r="J9" s="559"/>
      <c r="K9" s="560"/>
      <c r="L9" s="556"/>
      <c r="M9" s="558" t="s">
        <v>163</v>
      </c>
      <c r="N9" s="559"/>
      <c r="O9" s="560"/>
      <c r="P9" s="515"/>
      <c r="Q9" s="151"/>
      <c r="R9" s="151"/>
      <c r="S9" s="151"/>
    </row>
    <row r="10" spans="1:19" s="143" customFormat="1" ht="259.5" customHeight="1" x14ac:dyDescent="0.25">
      <c r="A10" s="571"/>
      <c r="B10" s="571"/>
      <c r="C10" s="516" t="s">
        <v>143</v>
      </c>
      <c r="D10" s="516" t="s">
        <v>236</v>
      </c>
      <c r="E10" s="516" t="s">
        <v>299</v>
      </c>
      <c r="F10" s="516"/>
      <c r="G10" s="516"/>
      <c r="H10" s="516"/>
      <c r="I10" s="516"/>
      <c r="J10" s="134"/>
      <c r="K10" s="516"/>
      <c r="L10" s="555"/>
      <c r="M10" s="152"/>
      <c r="N10" s="134" t="s">
        <v>233</v>
      </c>
      <c r="O10" s="152"/>
      <c r="P10" s="134"/>
      <c r="Q10" s="151"/>
      <c r="R10" s="151"/>
      <c r="S10" s="151"/>
    </row>
    <row r="11" spans="1:19" s="143" customFormat="1" ht="45.75" customHeight="1" x14ac:dyDescent="0.25">
      <c r="A11" s="571"/>
      <c r="B11" s="571"/>
      <c r="C11" s="558" t="s">
        <v>394</v>
      </c>
      <c r="D11" s="559"/>
      <c r="E11" s="559"/>
      <c r="F11" s="559"/>
      <c r="G11" s="559"/>
      <c r="H11" s="559"/>
      <c r="I11" s="559"/>
      <c r="J11" s="559"/>
      <c r="K11" s="560"/>
      <c r="L11" s="515"/>
      <c r="M11" s="558" t="s">
        <v>395</v>
      </c>
      <c r="N11" s="559"/>
      <c r="O11" s="560"/>
      <c r="P11" s="134"/>
      <c r="Q11" s="151"/>
      <c r="R11" s="151"/>
      <c r="S11" s="151"/>
    </row>
    <row r="12" spans="1:19" s="143" customFormat="1" ht="23.25" customHeight="1" x14ac:dyDescent="0.25">
      <c r="A12" s="572"/>
      <c r="B12" s="572"/>
      <c r="C12" s="516">
        <v>41040200</v>
      </c>
      <c r="D12" s="516">
        <v>41051200</v>
      </c>
      <c r="E12" s="516">
        <v>41051500</v>
      </c>
      <c r="F12" s="516"/>
      <c r="G12" s="516"/>
      <c r="H12" s="516"/>
      <c r="I12" s="516"/>
      <c r="J12" s="134"/>
      <c r="K12" s="516"/>
      <c r="L12" s="515"/>
      <c r="M12" s="152"/>
      <c r="N12" s="178" t="s">
        <v>393</v>
      </c>
      <c r="O12" s="152"/>
      <c r="P12" s="134"/>
      <c r="Q12" s="151"/>
      <c r="R12" s="151"/>
      <c r="S12" s="151"/>
    </row>
    <row r="13" spans="1:19" s="143" customFormat="1" ht="15.75" x14ac:dyDescent="0.25">
      <c r="A13" s="133">
        <v>1</v>
      </c>
      <c r="B13" s="133">
        <v>2</v>
      </c>
      <c r="C13" s="133">
        <v>3</v>
      </c>
      <c r="D13" s="133">
        <v>4</v>
      </c>
      <c r="E13" s="133">
        <v>5</v>
      </c>
      <c r="F13" s="133">
        <v>6</v>
      </c>
      <c r="G13" s="133">
        <v>7</v>
      </c>
      <c r="H13" s="133">
        <v>8</v>
      </c>
      <c r="I13" s="133">
        <v>9</v>
      </c>
      <c r="J13" s="133">
        <v>10</v>
      </c>
      <c r="K13" s="133">
        <v>11</v>
      </c>
      <c r="L13" s="133">
        <v>12</v>
      </c>
      <c r="M13" s="133">
        <v>13</v>
      </c>
      <c r="N13" s="133">
        <v>14</v>
      </c>
      <c r="O13" s="133">
        <v>15</v>
      </c>
      <c r="P13" s="133">
        <v>16</v>
      </c>
      <c r="Q13" s="153"/>
      <c r="R13" s="153"/>
      <c r="S13" s="153"/>
    </row>
    <row r="14" spans="1:19" s="143" customFormat="1" ht="31.5" x14ac:dyDescent="0.25">
      <c r="A14" s="134">
        <v>24100000000</v>
      </c>
      <c r="B14" s="134" t="s">
        <v>276</v>
      </c>
      <c r="C14" s="514">
        <v>3417400</v>
      </c>
      <c r="D14" s="134">
        <v>384700</v>
      </c>
      <c r="E14" s="513">
        <v>75600</v>
      </c>
      <c r="F14" s="513"/>
      <c r="G14" s="513"/>
      <c r="H14" s="513"/>
      <c r="I14" s="134"/>
      <c r="J14" s="513"/>
      <c r="K14" s="134"/>
      <c r="L14" s="261">
        <f>SUM(C14:K14)</f>
        <v>3877700</v>
      </c>
      <c r="M14" s="195"/>
      <c r="N14" s="195"/>
      <c r="O14" s="195"/>
      <c r="P14" s="316">
        <f>SUM(M14:O14)</f>
        <v>0</v>
      </c>
      <c r="Q14" s="153"/>
      <c r="R14" s="153"/>
      <c r="S14" s="153"/>
    </row>
    <row r="15" spans="1:19" ht="31.15" hidden="1" customHeight="1" x14ac:dyDescent="0.25">
      <c r="A15" s="177">
        <v>24201100000</v>
      </c>
      <c r="B15" s="177" t="s">
        <v>220</v>
      </c>
      <c r="C15" s="134"/>
      <c r="D15" s="134"/>
      <c r="E15" s="134"/>
      <c r="F15" s="134"/>
      <c r="G15" s="134"/>
      <c r="H15" s="134"/>
      <c r="I15" s="134"/>
      <c r="J15" s="178"/>
      <c r="K15" s="178"/>
      <c r="L15" s="315"/>
      <c r="M15" s="195"/>
      <c r="N15" s="513"/>
      <c r="O15" s="195"/>
      <c r="P15" s="318">
        <f>SUM(M15:O15)</f>
        <v>0</v>
      </c>
      <c r="Q15" s="154"/>
      <c r="R15" s="154"/>
      <c r="S15" s="154"/>
    </row>
    <row r="16" spans="1:19" s="143" customFormat="1" ht="31.5" x14ac:dyDescent="0.25">
      <c r="A16" s="134">
        <v>24309200000</v>
      </c>
      <c r="B16" s="134" t="s">
        <v>219</v>
      </c>
      <c r="C16" s="134"/>
      <c r="D16" s="134"/>
      <c r="E16" s="134"/>
      <c r="F16" s="134"/>
      <c r="G16" s="134"/>
      <c r="H16" s="134"/>
      <c r="I16" s="134"/>
      <c r="J16" s="134"/>
      <c r="K16" s="134"/>
      <c r="L16" s="261"/>
      <c r="M16" s="195"/>
      <c r="N16" s="317">
        <v>900000</v>
      </c>
      <c r="O16" s="317"/>
      <c r="P16" s="318">
        <f>SUM(M16:O16)</f>
        <v>900000</v>
      </c>
      <c r="Q16" s="153"/>
      <c r="R16" s="153"/>
      <c r="S16" s="153"/>
    </row>
    <row r="17" spans="1:34" s="143" customFormat="1" ht="23.25" customHeight="1" x14ac:dyDescent="0.25">
      <c r="A17" s="261" t="s">
        <v>159</v>
      </c>
      <c r="B17" s="262" t="s">
        <v>156</v>
      </c>
      <c r="C17" s="264">
        <f t="shared" ref="C17:O17" si="0">SUM(C14:C16)</f>
        <v>3417400</v>
      </c>
      <c r="D17" s="264">
        <f t="shared" si="0"/>
        <v>384700</v>
      </c>
      <c r="E17" s="264">
        <f t="shared" si="0"/>
        <v>75600</v>
      </c>
      <c r="F17" s="264">
        <f t="shared" si="0"/>
        <v>0</v>
      </c>
      <c r="G17" s="264">
        <f t="shared" si="0"/>
        <v>0</v>
      </c>
      <c r="H17" s="264">
        <f t="shared" si="0"/>
        <v>0</v>
      </c>
      <c r="I17" s="264">
        <f t="shared" si="0"/>
        <v>0</v>
      </c>
      <c r="J17" s="264">
        <f t="shared" si="0"/>
        <v>0</v>
      </c>
      <c r="K17" s="264">
        <f t="shared" si="0"/>
        <v>0</v>
      </c>
      <c r="L17" s="264">
        <f t="shared" si="0"/>
        <v>3877700</v>
      </c>
      <c r="M17" s="264">
        <f t="shared" si="0"/>
        <v>0</v>
      </c>
      <c r="N17" s="264">
        <f t="shared" si="0"/>
        <v>900000</v>
      </c>
      <c r="O17" s="264">
        <f t="shared" si="0"/>
        <v>0</v>
      </c>
      <c r="P17" s="314">
        <f>SUM(M17:O17)</f>
        <v>900000</v>
      </c>
      <c r="Q17" s="263"/>
      <c r="R17" s="263"/>
      <c r="S17" s="263"/>
    </row>
    <row r="18" spans="1:34" s="137" customFormat="1" ht="20.25" customHeight="1" x14ac:dyDescent="0.2">
      <c r="A18" s="565"/>
      <c r="B18" s="565"/>
      <c r="C18" s="565"/>
      <c r="D18" s="565"/>
      <c r="E18" s="565"/>
      <c r="F18" s="565"/>
      <c r="G18" s="565"/>
      <c r="H18" s="565"/>
      <c r="I18" s="565"/>
      <c r="J18" s="565"/>
      <c r="K18" s="565"/>
      <c r="L18" s="565"/>
      <c r="M18" s="565"/>
      <c r="N18" s="565"/>
      <c r="O18" s="565"/>
      <c r="P18" s="565"/>
      <c r="Q18" s="566"/>
      <c r="R18" s="566"/>
      <c r="S18" s="566"/>
    </row>
    <row r="19" spans="1:34" ht="33.75" customHeight="1" x14ac:dyDescent="0.2">
      <c r="A19" s="561" t="s">
        <v>402</v>
      </c>
      <c r="B19" s="561"/>
      <c r="C19" s="561"/>
      <c r="D19" s="561"/>
      <c r="E19" s="561"/>
      <c r="F19" s="561"/>
      <c r="G19" s="561"/>
      <c r="H19" s="561"/>
      <c r="I19" s="561"/>
      <c r="J19" s="561"/>
      <c r="K19" s="561"/>
      <c r="L19" s="561"/>
      <c r="M19" s="561"/>
      <c r="N19" s="561"/>
      <c r="O19" s="561"/>
      <c r="P19" s="561"/>
      <c r="Q19" s="265"/>
      <c r="R19" s="265"/>
      <c r="S19" s="265"/>
    </row>
    <row r="20" spans="1:34" ht="24" customHeight="1" x14ac:dyDescent="0.2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17"/>
      <c r="R20" s="517"/>
      <c r="S20" s="517"/>
    </row>
    <row r="21" spans="1:34" ht="22.5" customHeight="1" x14ac:dyDescent="0.2">
      <c r="A21" s="561"/>
      <c r="B21" s="561"/>
      <c r="C21" s="561"/>
      <c r="D21" s="561"/>
      <c r="E21" s="561"/>
      <c r="F21" s="561"/>
      <c r="G21" s="561"/>
      <c r="H21" s="561"/>
      <c r="I21" s="561"/>
      <c r="J21" s="561"/>
      <c r="K21" s="561"/>
      <c r="L21" s="561"/>
      <c r="M21" s="561"/>
      <c r="N21" s="561"/>
      <c r="O21" s="561"/>
      <c r="P21" s="561"/>
      <c r="Q21" s="135"/>
      <c r="R21" s="135"/>
      <c r="S21" s="135"/>
    </row>
    <row r="22" spans="1:34" s="144" customForma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</row>
    <row r="23" spans="1:34" s="144" customFormat="1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</row>
    <row r="47" ht="44.25" customHeight="1" x14ac:dyDescent="0.2"/>
    <row r="60" ht="45.75" customHeight="1" x14ac:dyDescent="0.2"/>
  </sheetData>
  <mergeCells count="24">
    <mergeCell ref="A2:P2"/>
    <mergeCell ref="M1:P1"/>
    <mergeCell ref="A3:B3"/>
    <mergeCell ref="B6:B12"/>
    <mergeCell ref="A6:A12"/>
    <mergeCell ref="M6:P6"/>
    <mergeCell ref="N7:O7"/>
    <mergeCell ref="M7:M8"/>
    <mergeCell ref="Q8:S8"/>
    <mergeCell ref="M9:O9"/>
    <mergeCell ref="C11:K11"/>
    <mergeCell ref="M11:O11"/>
    <mergeCell ref="Q6:S6"/>
    <mergeCell ref="C6:L6"/>
    <mergeCell ref="P7:P8"/>
    <mergeCell ref="L7:L10"/>
    <mergeCell ref="C7:C8"/>
    <mergeCell ref="C9:K9"/>
    <mergeCell ref="A20:P20"/>
    <mergeCell ref="A21:P21"/>
    <mergeCell ref="D7:K7"/>
    <mergeCell ref="D8:J8"/>
    <mergeCell ref="A19:P19"/>
    <mergeCell ref="A18:S18"/>
  </mergeCells>
  <phoneticPr fontId="71" type="noConversion"/>
  <printOptions horizontalCentered="1"/>
  <pageMargins left="0.19685039370078741" right="0.19685039370078741" top="0.59055118110236227" bottom="0" header="0.31496062992125984" footer="0.31496062992125984"/>
  <pageSetup paperSize="9" scale="66" fitToHeight="0" orientation="landscape" r:id="rId1"/>
  <headerFooter alignWithMargins="0"/>
  <colBreaks count="1" manualBreakCount="1">
    <brk id="16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S55"/>
  <sheetViews>
    <sheetView tabSelected="1" view="pageBreakPreview" zoomScale="90" zoomScaleNormal="100" zoomScaleSheetLayoutView="90" workbookViewId="0">
      <selection activeCell="D43" sqref="D43"/>
    </sheetView>
  </sheetViews>
  <sheetFormatPr defaultColWidth="9.1640625" defaultRowHeight="12.75" x14ac:dyDescent="0.2"/>
  <cols>
    <col min="1" max="2" width="17.5" style="13" customWidth="1"/>
    <col min="3" max="3" width="18.83203125" style="13" customWidth="1"/>
    <col min="4" max="4" width="45.33203125" style="13" customWidth="1"/>
    <col min="5" max="5" width="50.33203125" style="13" customWidth="1"/>
    <col min="6" max="6" width="27.33203125" style="13" customWidth="1"/>
    <col min="7" max="7" width="22" style="13" customWidth="1"/>
    <col min="8" max="8" width="17" style="13" customWidth="1"/>
    <col min="9" max="9" width="18.33203125" style="13" customWidth="1"/>
    <col min="10" max="10" width="17.5" style="13" customWidth="1"/>
    <col min="11" max="16384" width="9.1640625" style="136"/>
  </cols>
  <sheetData>
    <row r="2" spans="1:10" ht="74.25" customHeight="1" x14ac:dyDescent="0.2">
      <c r="G2" s="521" t="s">
        <v>380</v>
      </c>
      <c r="H2" s="521"/>
      <c r="I2" s="521"/>
      <c r="J2" s="521"/>
    </row>
    <row r="3" spans="1:10" ht="22.9" customHeight="1" x14ac:dyDescent="0.2">
      <c r="A3" s="575" t="s">
        <v>283</v>
      </c>
      <c r="B3" s="575"/>
      <c r="C3" s="575"/>
      <c r="D3" s="575"/>
      <c r="E3" s="575"/>
      <c r="F3" s="575"/>
      <c r="G3" s="575"/>
      <c r="H3" s="575"/>
      <c r="I3" s="575"/>
      <c r="J3" s="575"/>
    </row>
    <row r="4" spans="1:10" ht="18.75" x14ac:dyDescent="0.2">
      <c r="A4" s="524">
        <v>24533000000</v>
      </c>
      <c r="B4" s="524"/>
      <c r="C4" s="268"/>
      <c r="D4" s="268"/>
      <c r="E4" s="268"/>
      <c r="F4" s="268"/>
      <c r="G4" s="268"/>
      <c r="H4" s="268"/>
      <c r="I4" s="268"/>
      <c r="J4" s="268"/>
    </row>
    <row r="5" spans="1:10" ht="20.25" x14ac:dyDescent="0.2">
      <c r="A5" s="287" t="s">
        <v>287</v>
      </c>
      <c r="B5" s="286"/>
      <c r="C5" s="268"/>
      <c r="D5" s="268"/>
      <c r="E5" s="268"/>
      <c r="F5" s="268"/>
      <c r="G5" s="268"/>
      <c r="H5" s="268"/>
      <c r="I5" s="268"/>
      <c r="J5" s="268"/>
    </row>
    <row r="6" spans="1:10" ht="18.75" x14ac:dyDescent="0.3">
      <c r="A6" s="145"/>
      <c r="B6" s="14"/>
      <c r="C6" s="14"/>
      <c r="D6" s="14"/>
      <c r="E6" s="146"/>
      <c r="F6" s="146"/>
      <c r="G6" s="146"/>
      <c r="H6" s="146"/>
      <c r="I6" s="146"/>
      <c r="J6" s="140" t="s">
        <v>76</v>
      </c>
    </row>
    <row r="7" spans="1:10" ht="148.5" customHeight="1" x14ac:dyDescent="0.2">
      <c r="A7" s="148" t="s">
        <v>366</v>
      </c>
      <c r="B7" s="148" t="s">
        <v>367</v>
      </c>
      <c r="C7" s="148" t="s">
        <v>280</v>
      </c>
      <c r="D7" s="132" t="s">
        <v>373</v>
      </c>
      <c r="E7" s="149" t="s">
        <v>396</v>
      </c>
      <c r="F7" s="149" t="s">
        <v>397</v>
      </c>
      <c r="G7" s="149" t="s">
        <v>398</v>
      </c>
      <c r="H7" s="149" t="s">
        <v>400</v>
      </c>
      <c r="I7" s="149" t="s">
        <v>399</v>
      </c>
      <c r="J7" s="149" t="s">
        <v>401</v>
      </c>
    </row>
    <row r="8" spans="1:10" ht="15.75" x14ac:dyDescent="0.2">
      <c r="A8" s="148">
        <v>1</v>
      </c>
      <c r="B8" s="148">
        <v>2</v>
      </c>
      <c r="C8" s="148">
        <v>3</v>
      </c>
      <c r="D8" s="148">
        <v>4</v>
      </c>
      <c r="E8" s="148">
        <v>5</v>
      </c>
      <c r="F8" s="148">
        <v>6</v>
      </c>
      <c r="G8" s="148">
        <v>7</v>
      </c>
      <c r="H8" s="148">
        <v>8</v>
      </c>
      <c r="I8" s="148">
        <v>9</v>
      </c>
      <c r="J8" s="148">
        <v>10</v>
      </c>
    </row>
    <row r="9" spans="1:10" s="158" customFormat="1" ht="18" hidden="1" customHeight="1" x14ac:dyDescent="0.2">
      <c r="A9" s="298">
        <v>100000</v>
      </c>
      <c r="B9" s="299"/>
      <c r="C9" s="299"/>
      <c r="D9" s="300" t="s">
        <v>270</v>
      </c>
      <c r="E9" s="212"/>
      <c r="F9" s="206"/>
      <c r="G9" s="206"/>
      <c r="H9" s="206"/>
      <c r="I9" s="206"/>
      <c r="J9" s="206"/>
    </row>
    <row r="10" spans="1:10" s="158" customFormat="1" ht="18" hidden="1" customHeight="1" x14ac:dyDescent="0.2">
      <c r="A10" s="290">
        <v>110000</v>
      </c>
      <c r="B10" s="191"/>
      <c r="C10" s="191"/>
      <c r="D10" s="300" t="s">
        <v>270</v>
      </c>
      <c r="E10" s="212"/>
      <c r="F10" s="207"/>
      <c r="G10" s="207"/>
      <c r="H10" s="207"/>
      <c r="I10" s="207"/>
      <c r="J10" s="207"/>
    </row>
    <row r="11" spans="1:10" ht="33.75" hidden="1" customHeight="1" x14ac:dyDescent="0.25">
      <c r="A11" s="178"/>
      <c r="B11" s="178"/>
      <c r="C11" s="178"/>
      <c r="D11" s="198"/>
      <c r="E11" s="213"/>
      <c r="F11" s="204"/>
      <c r="G11" s="197"/>
      <c r="H11" s="197"/>
      <c r="I11" s="196"/>
      <c r="J11" s="196"/>
    </row>
    <row r="12" spans="1:10" ht="37.5" hidden="1" customHeight="1" x14ac:dyDescent="0.25">
      <c r="A12" s="178"/>
      <c r="B12" s="178"/>
      <c r="C12" s="178"/>
      <c r="D12" s="228"/>
      <c r="E12" s="213"/>
      <c r="F12" s="204"/>
      <c r="G12" s="197"/>
      <c r="H12" s="197"/>
      <c r="I12" s="196"/>
      <c r="J12" s="196"/>
    </row>
    <row r="13" spans="1:10" ht="37.5" hidden="1" customHeight="1" x14ac:dyDescent="0.25">
      <c r="A13" s="199"/>
      <c r="B13" s="200"/>
      <c r="C13" s="201"/>
      <c r="D13" s="228"/>
      <c r="E13" s="213"/>
      <c r="F13" s="204"/>
      <c r="G13" s="197"/>
      <c r="H13" s="197"/>
      <c r="I13" s="196"/>
      <c r="J13" s="196"/>
    </row>
    <row r="14" spans="1:10" ht="15.75" hidden="1" x14ac:dyDescent="0.2">
      <c r="A14" s="178"/>
      <c r="B14" s="200"/>
      <c r="C14" s="201"/>
      <c r="D14" s="228"/>
      <c r="E14" s="214"/>
      <c r="F14" s="204"/>
      <c r="G14" s="197"/>
      <c r="H14" s="197"/>
      <c r="I14" s="196"/>
      <c r="J14" s="196"/>
    </row>
    <row r="15" spans="1:10" ht="15.75" hidden="1" x14ac:dyDescent="0.2">
      <c r="A15" s="178"/>
      <c r="B15" s="200"/>
      <c r="C15" s="201"/>
      <c r="D15" s="228"/>
      <c r="E15" s="214"/>
      <c r="F15" s="204"/>
      <c r="G15" s="197"/>
      <c r="H15" s="197"/>
      <c r="I15" s="196"/>
      <c r="J15" s="196"/>
    </row>
    <row r="16" spans="1:10" ht="15.75" hidden="1" x14ac:dyDescent="0.2">
      <c r="A16" s="178"/>
      <c r="B16" s="200"/>
      <c r="C16" s="201"/>
      <c r="D16" s="228"/>
      <c r="E16" s="214"/>
      <c r="F16" s="204"/>
      <c r="G16" s="197"/>
      <c r="H16" s="197"/>
      <c r="I16" s="196"/>
      <c r="J16" s="196"/>
    </row>
    <row r="17" spans="1:10" ht="69.75" hidden="1" customHeight="1" x14ac:dyDescent="0.25">
      <c r="A17" s="276"/>
      <c r="B17" s="277"/>
      <c r="C17" s="278"/>
      <c r="D17" s="279"/>
      <c r="E17" s="213"/>
      <c r="F17" s="204"/>
      <c r="G17" s="197"/>
      <c r="H17" s="197"/>
      <c r="I17" s="196"/>
      <c r="J17" s="196"/>
    </row>
    <row r="18" spans="1:10" ht="82.5" hidden="1" customHeight="1" x14ac:dyDescent="0.25">
      <c r="A18" s="276"/>
      <c r="B18" s="277"/>
      <c r="C18" s="278"/>
      <c r="D18" s="279"/>
      <c r="E18" s="213"/>
      <c r="F18" s="204"/>
      <c r="G18" s="197"/>
      <c r="H18" s="197"/>
      <c r="I18" s="196"/>
      <c r="J18" s="196"/>
    </row>
    <row r="19" spans="1:10" ht="15.75" hidden="1" x14ac:dyDescent="0.25">
      <c r="A19" s="276"/>
      <c r="B19" s="277"/>
      <c r="C19" s="278"/>
      <c r="D19" s="279"/>
      <c r="E19" s="213"/>
      <c r="F19" s="204"/>
      <c r="G19" s="197"/>
      <c r="H19" s="197"/>
      <c r="I19" s="196"/>
      <c r="J19" s="196"/>
    </row>
    <row r="20" spans="1:10" s="158" customFormat="1" ht="31.5" x14ac:dyDescent="0.2">
      <c r="A20" s="294" t="s">
        <v>100</v>
      </c>
      <c r="B20" s="191"/>
      <c r="C20" s="191"/>
      <c r="D20" s="308" t="s">
        <v>85</v>
      </c>
      <c r="E20" s="210"/>
      <c r="F20" s="207"/>
      <c r="G20" s="208">
        <f>G21</f>
        <v>132800</v>
      </c>
      <c r="H20" s="208"/>
      <c r="I20" s="208">
        <f>I21</f>
        <v>132800</v>
      </c>
      <c r="J20" s="208">
        <f>J21</f>
        <v>100</v>
      </c>
    </row>
    <row r="21" spans="1:10" s="158" customFormat="1" ht="31.5" x14ac:dyDescent="0.2">
      <c r="A21" s="294" t="s">
        <v>101</v>
      </c>
      <c r="B21" s="191"/>
      <c r="C21" s="191"/>
      <c r="D21" s="308" t="s">
        <v>85</v>
      </c>
      <c r="E21" s="210"/>
      <c r="F21" s="207"/>
      <c r="G21" s="208">
        <f>SUM(G22:G24)</f>
        <v>132800</v>
      </c>
      <c r="H21" s="208"/>
      <c r="I21" s="208">
        <f>SUM(I22:I24)</f>
        <v>132800</v>
      </c>
      <c r="J21" s="208">
        <v>100</v>
      </c>
    </row>
    <row r="22" spans="1:10" s="225" customFormat="1" ht="63" x14ac:dyDescent="0.2">
      <c r="A22" s="319" t="s">
        <v>102</v>
      </c>
      <c r="B22" s="203">
        <v>1010</v>
      </c>
      <c r="C22" s="201">
        <v>910</v>
      </c>
      <c r="D22" s="228" t="s">
        <v>103</v>
      </c>
      <c r="E22" s="229" t="s">
        <v>322</v>
      </c>
      <c r="F22" s="226" t="s">
        <v>300</v>
      </c>
      <c r="G22" s="227">
        <v>10700</v>
      </c>
      <c r="H22" s="227"/>
      <c r="I22" s="227">
        <v>10700</v>
      </c>
      <c r="J22" s="469">
        <v>100</v>
      </c>
    </row>
    <row r="23" spans="1:10" s="150" customFormat="1" ht="73.5" customHeight="1" x14ac:dyDescent="0.2">
      <c r="A23" s="319" t="s">
        <v>104</v>
      </c>
      <c r="B23" s="200">
        <v>1020</v>
      </c>
      <c r="C23" s="201">
        <v>921</v>
      </c>
      <c r="D23" s="338" t="s">
        <v>369</v>
      </c>
      <c r="E23" s="486" t="s">
        <v>323</v>
      </c>
      <c r="F23" s="226" t="s">
        <v>300</v>
      </c>
      <c r="G23" s="227">
        <v>122100</v>
      </c>
      <c r="H23" s="227"/>
      <c r="I23" s="227">
        <v>122100</v>
      </c>
      <c r="J23" s="469">
        <v>100</v>
      </c>
    </row>
    <row r="24" spans="1:10" ht="63" hidden="1" customHeight="1" x14ac:dyDescent="0.25">
      <c r="A24" s="199"/>
      <c r="B24" s="200"/>
      <c r="C24" s="201"/>
      <c r="D24" s="198"/>
      <c r="E24" s="213"/>
      <c r="F24" s="226"/>
      <c r="G24" s="197"/>
      <c r="H24" s="197"/>
      <c r="I24" s="196"/>
      <c r="J24" s="196"/>
    </row>
    <row r="25" spans="1:10" s="158" customFormat="1" ht="47.25" hidden="1" x14ac:dyDescent="0.2">
      <c r="A25" s="294" t="s">
        <v>95</v>
      </c>
      <c r="B25" s="191"/>
      <c r="C25" s="191"/>
      <c r="D25" s="192" t="s">
        <v>86</v>
      </c>
      <c r="E25" s="210"/>
      <c r="F25" s="207"/>
      <c r="G25" s="208"/>
      <c r="H25" s="208"/>
      <c r="I25" s="207"/>
      <c r="J25" s="207"/>
    </row>
    <row r="26" spans="1:10" s="158" customFormat="1" ht="47.25" hidden="1" x14ac:dyDescent="0.2">
      <c r="A26" s="294" t="s">
        <v>96</v>
      </c>
      <c r="B26" s="191"/>
      <c r="C26" s="191"/>
      <c r="D26" s="192" t="s">
        <v>86</v>
      </c>
      <c r="E26" s="210"/>
      <c r="F26" s="207"/>
      <c r="G26" s="208"/>
      <c r="H26" s="208"/>
      <c r="I26" s="207"/>
      <c r="J26" s="207"/>
    </row>
    <row r="27" spans="1:10" ht="77.25" hidden="1" customHeight="1" x14ac:dyDescent="0.2">
      <c r="A27" s="202"/>
      <c r="B27" s="200"/>
      <c r="C27" s="201"/>
      <c r="D27" s="198"/>
      <c r="E27" s="196"/>
      <c r="F27" s="204"/>
      <c r="G27" s="197"/>
      <c r="H27" s="197"/>
      <c r="I27" s="196"/>
      <c r="J27" s="196"/>
    </row>
    <row r="28" spans="1:10" s="158" customFormat="1" ht="31.5" hidden="1" customHeight="1" x14ac:dyDescent="0.2">
      <c r="A28" s="295">
        <v>1000000</v>
      </c>
      <c r="B28" s="191"/>
      <c r="C28" s="191"/>
      <c r="D28" s="239" t="s">
        <v>251</v>
      </c>
      <c r="E28" s="210"/>
      <c r="F28" s="207"/>
      <c r="G28" s="207"/>
      <c r="H28" s="207"/>
      <c r="I28" s="207"/>
      <c r="J28" s="207"/>
    </row>
    <row r="29" spans="1:10" s="158" customFormat="1" ht="32.25" hidden="1" customHeight="1" x14ac:dyDescent="0.2">
      <c r="A29" s="295">
        <v>1010000</v>
      </c>
      <c r="B29" s="191"/>
      <c r="C29" s="191"/>
      <c r="D29" s="239" t="s">
        <v>251</v>
      </c>
      <c r="E29" s="210"/>
      <c r="F29" s="207"/>
      <c r="G29" s="207"/>
      <c r="H29" s="207"/>
      <c r="I29" s="207"/>
      <c r="J29" s="207"/>
    </row>
    <row r="30" spans="1:10" ht="37.5" hidden="1" customHeight="1" x14ac:dyDescent="0.2">
      <c r="A30" s="178"/>
      <c r="B30" s="178"/>
      <c r="C30" s="178"/>
      <c r="D30" s="228"/>
      <c r="E30" s="196"/>
      <c r="F30" s="204"/>
      <c r="G30" s="197"/>
      <c r="H30" s="197"/>
      <c r="I30" s="196"/>
      <c r="J30" s="196"/>
    </row>
    <row r="31" spans="1:10" s="158" customFormat="1" ht="31.5" hidden="1" x14ac:dyDescent="0.2">
      <c r="A31" s="289">
        <v>1100000</v>
      </c>
      <c r="B31" s="205"/>
      <c r="C31" s="205"/>
      <c r="D31" s="218" t="s">
        <v>252</v>
      </c>
      <c r="E31" s="210"/>
      <c r="F31" s="207"/>
      <c r="G31" s="207"/>
      <c r="H31" s="207"/>
      <c r="I31" s="207"/>
      <c r="J31" s="207"/>
    </row>
    <row r="32" spans="1:10" s="158" customFormat="1" ht="31.5" hidden="1" x14ac:dyDescent="0.2">
      <c r="A32" s="290">
        <v>1110000</v>
      </c>
      <c r="B32" s="191"/>
      <c r="C32" s="191"/>
      <c r="D32" s="218" t="s">
        <v>252</v>
      </c>
      <c r="E32" s="210"/>
      <c r="F32" s="207"/>
      <c r="G32" s="207"/>
      <c r="H32" s="207"/>
      <c r="I32" s="207"/>
      <c r="J32" s="207"/>
    </row>
    <row r="33" spans="1:10" s="158" customFormat="1" ht="15.75" hidden="1" x14ac:dyDescent="0.2">
      <c r="A33" s="320"/>
      <c r="B33" s="321"/>
      <c r="C33" s="321"/>
      <c r="D33" s="322"/>
      <c r="E33" s="323"/>
      <c r="F33" s="324"/>
      <c r="G33" s="324"/>
      <c r="H33" s="324"/>
      <c r="I33" s="324"/>
      <c r="J33" s="324"/>
    </row>
    <row r="34" spans="1:10" s="158" customFormat="1" ht="15.75" hidden="1" x14ac:dyDescent="0.2">
      <c r="A34" s="320"/>
      <c r="B34" s="321"/>
      <c r="C34" s="321"/>
      <c r="D34" s="322"/>
      <c r="E34" s="323"/>
      <c r="F34" s="324"/>
      <c r="G34" s="324"/>
      <c r="H34" s="324"/>
      <c r="I34" s="324"/>
      <c r="J34" s="324"/>
    </row>
    <row r="35" spans="1:10" s="158" customFormat="1" ht="31.5" hidden="1" customHeight="1" x14ac:dyDescent="0.2">
      <c r="A35" s="295">
        <v>1000000</v>
      </c>
      <c r="B35" s="191"/>
      <c r="C35" s="191"/>
      <c r="D35" s="239" t="s">
        <v>251</v>
      </c>
      <c r="E35" s="210"/>
      <c r="F35" s="207"/>
      <c r="G35" s="207"/>
      <c r="H35" s="207"/>
      <c r="I35" s="207"/>
      <c r="J35" s="207"/>
    </row>
    <row r="36" spans="1:10" s="158" customFormat="1" ht="32.25" hidden="1" customHeight="1" x14ac:dyDescent="0.2">
      <c r="A36" s="295">
        <v>1010000</v>
      </c>
      <c r="B36" s="191"/>
      <c r="C36" s="191"/>
      <c r="D36" s="239" t="s">
        <v>251</v>
      </c>
      <c r="E36" s="210"/>
      <c r="F36" s="207"/>
      <c r="G36" s="207"/>
      <c r="H36" s="207"/>
      <c r="I36" s="207"/>
      <c r="J36" s="207"/>
    </row>
    <row r="37" spans="1:10" s="158" customFormat="1" ht="32.25" hidden="1" customHeight="1" x14ac:dyDescent="0.2">
      <c r="A37" s="325"/>
      <c r="B37" s="321"/>
      <c r="C37" s="321"/>
      <c r="D37" s="326"/>
      <c r="E37" s="323"/>
      <c r="F37" s="324"/>
      <c r="G37" s="324"/>
      <c r="H37" s="324"/>
      <c r="I37" s="324"/>
      <c r="J37" s="324"/>
    </row>
    <row r="38" spans="1:10" s="158" customFormat="1" ht="32.25" hidden="1" customHeight="1" x14ac:dyDescent="0.2">
      <c r="A38" s="289">
        <v>1100000</v>
      </c>
      <c r="B38" s="205"/>
      <c r="C38" s="205"/>
      <c r="D38" s="218" t="s">
        <v>252</v>
      </c>
      <c r="E38" s="210"/>
      <c r="F38" s="207"/>
      <c r="G38" s="207"/>
      <c r="H38" s="207"/>
      <c r="I38" s="207"/>
      <c r="J38" s="207"/>
    </row>
    <row r="39" spans="1:10" s="158" customFormat="1" ht="32.25" hidden="1" customHeight="1" x14ac:dyDescent="0.2">
      <c r="A39" s="290">
        <v>1110000</v>
      </c>
      <c r="B39" s="191"/>
      <c r="C39" s="191"/>
      <c r="D39" s="218" t="s">
        <v>252</v>
      </c>
      <c r="E39" s="210"/>
      <c r="F39" s="207"/>
      <c r="G39" s="207"/>
      <c r="H39" s="207"/>
      <c r="I39" s="207"/>
      <c r="J39" s="207"/>
    </row>
    <row r="40" spans="1:10" s="158" customFormat="1" ht="32.25" hidden="1" customHeight="1" x14ac:dyDescent="0.2">
      <c r="A40" s="325"/>
      <c r="B40" s="321"/>
      <c r="C40" s="321"/>
      <c r="D40" s="326"/>
      <c r="E40" s="323"/>
      <c r="F40" s="324"/>
      <c r="G40" s="324"/>
      <c r="H40" s="324"/>
      <c r="I40" s="324"/>
      <c r="J40" s="324"/>
    </row>
    <row r="41" spans="1:10" s="158" customFormat="1" ht="32.25" customHeight="1" x14ac:dyDescent="0.2">
      <c r="A41" s="295">
        <v>2700000</v>
      </c>
      <c r="B41" s="191"/>
      <c r="C41" s="191"/>
      <c r="D41" s="192" t="s">
        <v>211</v>
      </c>
      <c r="E41" s="210"/>
      <c r="F41" s="207"/>
      <c r="G41" s="208">
        <f>G42</f>
        <v>500000</v>
      </c>
      <c r="H41" s="208"/>
      <c r="I41" s="208">
        <f>I42</f>
        <v>500000</v>
      </c>
      <c r="J41" s="208">
        <f>J42</f>
        <v>200</v>
      </c>
    </row>
    <row r="42" spans="1:10" ht="31.5" x14ac:dyDescent="0.2">
      <c r="A42" s="295">
        <v>2710000</v>
      </c>
      <c r="B42" s="191"/>
      <c r="C42" s="191"/>
      <c r="D42" s="485" t="s">
        <v>211</v>
      </c>
      <c r="E42" s="207"/>
      <c r="F42" s="421"/>
      <c r="G42" s="208">
        <f>SUM(G43:G45)</f>
        <v>500000</v>
      </c>
      <c r="H42" s="208"/>
      <c r="I42" s="208">
        <f>SUM(I43:I45)</f>
        <v>500000</v>
      </c>
      <c r="J42" s="208">
        <f>SUM(J43:J45)</f>
        <v>200</v>
      </c>
    </row>
    <row r="43" spans="1:10" ht="39.6" customHeight="1" x14ac:dyDescent="0.2">
      <c r="A43" s="335" t="s">
        <v>231</v>
      </c>
      <c r="B43" s="178" t="s">
        <v>117</v>
      </c>
      <c r="C43" s="178" t="s">
        <v>118</v>
      </c>
      <c r="D43" s="228" t="s">
        <v>119</v>
      </c>
      <c r="E43" s="204" t="s">
        <v>364</v>
      </c>
      <c r="F43" s="226" t="s">
        <v>300</v>
      </c>
      <c r="G43" s="197">
        <v>250000</v>
      </c>
      <c r="H43" s="197"/>
      <c r="I43" s="197">
        <v>250000</v>
      </c>
      <c r="J43" s="197">
        <v>100</v>
      </c>
    </row>
    <row r="44" spans="1:10" ht="39" customHeight="1" x14ac:dyDescent="0.2">
      <c r="A44" s="178" t="s">
        <v>361</v>
      </c>
      <c r="B44" s="200">
        <v>6015</v>
      </c>
      <c r="C44" s="178" t="s">
        <v>362</v>
      </c>
      <c r="D44" s="228" t="s">
        <v>363</v>
      </c>
      <c r="E44" s="196" t="s">
        <v>365</v>
      </c>
      <c r="F44" s="226" t="s">
        <v>300</v>
      </c>
      <c r="G44" s="197">
        <v>250000</v>
      </c>
      <c r="H44" s="197"/>
      <c r="I44" s="197">
        <v>250000</v>
      </c>
      <c r="J44" s="197">
        <v>100</v>
      </c>
    </row>
    <row r="45" spans="1:10" ht="37.5" hidden="1" customHeight="1" x14ac:dyDescent="0.2">
      <c r="A45" s="325"/>
      <c r="B45" s="321"/>
      <c r="C45" s="321"/>
      <c r="D45" s="327"/>
      <c r="E45" s="196"/>
      <c r="F45" s="204"/>
      <c r="G45" s="197"/>
      <c r="H45" s="197"/>
      <c r="I45" s="196"/>
      <c r="J45" s="196"/>
    </row>
    <row r="46" spans="1:10" ht="37.5" hidden="1" customHeight="1" x14ac:dyDescent="0.2">
      <c r="A46" s="295">
        <v>3700000</v>
      </c>
      <c r="B46" s="191"/>
      <c r="C46" s="191"/>
      <c r="D46" s="192" t="s">
        <v>80</v>
      </c>
      <c r="E46" s="422"/>
      <c r="F46" s="423"/>
      <c r="G46" s="424"/>
      <c r="H46" s="424"/>
      <c r="I46" s="422"/>
      <c r="J46" s="422"/>
    </row>
    <row r="47" spans="1:10" ht="37.5" hidden="1" customHeight="1" x14ac:dyDescent="0.2">
      <c r="A47" s="295">
        <v>3710000</v>
      </c>
      <c r="B47" s="191"/>
      <c r="C47" s="191"/>
      <c r="D47" s="192" t="s">
        <v>80</v>
      </c>
      <c r="E47" s="422"/>
      <c r="F47" s="423"/>
      <c r="G47" s="424"/>
      <c r="H47" s="424"/>
      <c r="I47" s="422"/>
      <c r="J47" s="422"/>
    </row>
    <row r="48" spans="1:10" ht="37.5" hidden="1" customHeight="1" x14ac:dyDescent="0.2">
      <c r="A48" s="325"/>
      <c r="B48" s="321"/>
      <c r="C48" s="321"/>
      <c r="D48" s="327"/>
      <c r="E48" s="196"/>
      <c r="F48" s="204"/>
      <c r="G48" s="197"/>
      <c r="H48" s="197"/>
      <c r="I48" s="196"/>
      <c r="J48" s="196"/>
    </row>
    <row r="49" spans="1:19" ht="36.75" hidden="1" customHeight="1" x14ac:dyDescent="0.2">
      <c r="A49" s="202"/>
      <c r="B49" s="203"/>
      <c r="C49" s="201"/>
      <c r="D49" s="198"/>
      <c r="E49" s="196"/>
      <c r="F49" s="204"/>
      <c r="G49" s="197"/>
      <c r="H49" s="197"/>
      <c r="I49" s="196"/>
      <c r="J49" s="196"/>
    </row>
    <row r="50" spans="1:19" s="158" customFormat="1" ht="27" customHeight="1" x14ac:dyDescent="0.2">
      <c r="A50" s="156" t="s">
        <v>159</v>
      </c>
      <c r="B50" s="156" t="s">
        <v>159</v>
      </c>
      <c r="C50" s="156" t="s">
        <v>159</v>
      </c>
      <c r="D50" s="280" t="s">
        <v>281</v>
      </c>
      <c r="E50" s="156" t="s">
        <v>159</v>
      </c>
      <c r="F50" s="156" t="s">
        <v>159</v>
      </c>
      <c r="G50" s="156" t="s">
        <v>159</v>
      </c>
      <c r="H50" s="156">
        <v>0</v>
      </c>
      <c r="I50" s="211">
        <f>I9+I20+I25+I28+I31+I35+I38+I41+I46</f>
        <v>632800</v>
      </c>
      <c r="J50" s="156" t="s">
        <v>159</v>
      </c>
    </row>
    <row r="51" spans="1:19" s="158" customFormat="1" ht="51" customHeight="1" x14ac:dyDescent="0.2">
      <c r="A51" s="509"/>
      <c r="B51" s="510"/>
      <c r="C51" s="510"/>
      <c r="D51" s="511"/>
      <c r="E51" s="510"/>
      <c r="F51" s="510"/>
      <c r="G51" s="510"/>
      <c r="H51" s="510"/>
      <c r="I51" s="512"/>
      <c r="J51" s="510"/>
    </row>
    <row r="52" spans="1:19" ht="33" customHeight="1" x14ac:dyDescent="0.2">
      <c r="A52" s="561" t="s">
        <v>403</v>
      </c>
      <c r="B52" s="561"/>
      <c r="C52" s="561"/>
      <c r="D52" s="561"/>
      <c r="E52" s="561"/>
      <c r="F52" s="561"/>
      <c r="G52" s="561"/>
      <c r="H52" s="561"/>
      <c r="I52" s="561"/>
      <c r="J52" s="561"/>
      <c r="K52" s="561"/>
      <c r="L52" s="561"/>
      <c r="M52" s="561"/>
      <c r="N52" s="561"/>
      <c r="O52" s="561"/>
      <c r="P52" s="561"/>
      <c r="Q52" s="265"/>
      <c r="R52" s="265"/>
      <c r="S52" s="265"/>
    </row>
    <row r="53" spans="1:19" ht="28.5" x14ac:dyDescent="0.2">
      <c r="A53" s="561"/>
      <c r="B53" s="561"/>
      <c r="C53" s="561"/>
      <c r="D53" s="561"/>
      <c r="E53" s="561"/>
      <c r="F53" s="561"/>
      <c r="G53" s="561"/>
      <c r="H53" s="561"/>
      <c r="I53" s="561"/>
      <c r="J53" s="561"/>
      <c r="K53" s="561"/>
      <c r="L53" s="561"/>
      <c r="M53" s="561"/>
      <c r="N53" s="561"/>
      <c r="O53" s="561"/>
      <c r="P53" s="561"/>
    </row>
    <row r="54" spans="1:19" ht="28.5" x14ac:dyDescent="0.2">
      <c r="A54" s="561"/>
      <c r="B54" s="561"/>
      <c r="C54" s="561"/>
      <c r="D54" s="561"/>
      <c r="E54" s="561"/>
      <c r="F54" s="561"/>
      <c r="G54" s="561"/>
      <c r="H54" s="561"/>
      <c r="I54" s="561"/>
      <c r="J54" s="561"/>
      <c r="K54" s="561"/>
      <c r="L54" s="561"/>
      <c r="M54" s="561"/>
      <c r="N54" s="561"/>
      <c r="O54" s="561"/>
      <c r="P54" s="561"/>
    </row>
    <row r="55" spans="1:19" ht="18.75" x14ac:dyDescent="0.2">
      <c r="A55" s="230"/>
      <c r="B55" s="231"/>
      <c r="C55" s="231"/>
      <c r="D55" s="231"/>
    </row>
  </sheetData>
  <mergeCells count="6">
    <mergeCell ref="A53:P53"/>
    <mergeCell ref="A54:P54"/>
    <mergeCell ref="A52:P52"/>
    <mergeCell ref="G2:J2"/>
    <mergeCell ref="A3:J3"/>
    <mergeCell ref="A4:B4"/>
  </mergeCells>
  <phoneticPr fontId="70" type="noConversion"/>
  <printOptions horizontalCentered="1"/>
  <pageMargins left="0.19685039370078741" right="0.19685039370078741" top="0.78740157480314965" bottom="0.39370078740157483" header="0.19685039370078741" footer="0.19685039370078741"/>
  <pageSetup paperSize="9" scale="61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44"/>
  <sheetViews>
    <sheetView view="pageBreakPreview" topLeftCell="A73" zoomScaleNormal="100" zoomScaleSheetLayoutView="85" workbookViewId="0">
      <selection activeCell="F17" sqref="F17"/>
    </sheetView>
  </sheetViews>
  <sheetFormatPr defaultColWidth="9.1640625" defaultRowHeight="12.75" x14ac:dyDescent="0.2"/>
  <cols>
    <col min="1" max="1" width="16.5" style="2" customWidth="1"/>
    <col min="2" max="2" width="14.33203125" style="2" customWidth="1"/>
    <col min="3" max="3" width="14.6640625" style="2" customWidth="1"/>
    <col min="4" max="4" width="38.5" style="2" customWidth="1"/>
    <col min="5" max="5" width="48.33203125" style="311" customWidth="1"/>
    <col min="6" max="6" width="26.5" style="2" customWidth="1"/>
    <col min="7" max="7" width="13.5" style="2" customWidth="1"/>
    <col min="8" max="8" width="14.6640625" style="2" customWidth="1"/>
    <col min="9" max="9" width="9.83203125" style="2" bestFit="1" customWidth="1"/>
    <col min="10" max="10" width="14.6640625" style="2" customWidth="1"/>
    <col min="11" max="11" width="4.33203125" style="429" customWidth="1"/>
    <col min="12" max="17" width="9.1640625" style="429"/>
    <col min="18" max="16384" width="9.1640625" style="3"/>
  </cols>
  <sheetData>
    <row r="1" spans="1:17" ht="90.75" customHeight="1" x14ac:dyDescent="0.2">
      <c r="G1" s="521" t="s">
        <v>389</v>
      </c>
      <c r="H1" s="521"/>
      <c r="I1" s="521"/>
      <c r="J1" s="521"/>
      <c r="K1" s="371"/>
    </row>
    <row r="2" spans="1:17" s="312" customFormat="1" ht="25.5" customHeight="1" x14ac:dyDescent="0.2">
      <c r="A2" s="577" t="s">
        <v>284</v>
      </c>
      <c r="B2" s="577"/>
      <c r="C2" s="577"/>
      <c r="D2" s="577"/>
      <c r="E2" s="577"/>
      <c r="F2" s="577"/>
      <c r="G2" s="577"/>
      <c r="H2" s="577"/>
      <c r="I2" s="577"/>
      <c r="J2" s="577"/>
      <c r="K2" s="430"/>
      <c r="L2" s="430"/>
      <c r="M2" s="430"/>
      <c r="N2" s="430"/>
      <c r="O2" s="430"/>
      <c r="P2" s="430"/>
      <c r="Q2" s="430"/>
    </row>
    <row r="3" spans="1:17" s="312" customFormat="1" ht="18.75" x14ac:dyDescent="0.2">
      <c r="A3" s="525">
        <v>24533000000</v>
      </c>
      <c r="B3" s="525"/>
      <c r="C3" s="269"/>
      <c r="D3" s="269"/>
      <c r="E3" s="269"/>
      <c r="F3" s="269"/>
      <c r="G3" s="269"/>
      <c r="H3" s="269"/>
      <c r="I3" s="269"/>
      <c r="J3" s="269"/>
      <c r="K3" s="430"/>
      <c r="L3" s="430"/>
      <c r="M3" s="430"/>
      <c r="N3" s="430"/>
      <c r="O3" s="430"/>
      <c r="P3" s="430"/>
      <c r="Q3" s="430"/>
    </row>
    <row r="4" spans="1:17" s="312" customFormat="1" ht="11.25" customHeight="1" x14ac:dyDescent="0.2">
      <c r="A4" s="476" t="s">
        <v>287</v>
      </c>
      <c r="B4" s="287"/>
      <c r="C4" s="269"/>
      <c r="D4" s="269"/>
      <c r="E4" s="269"/>
      <c r="F4" s="269"/>
      <c r="G4" s="269"/>
      <c r="H4" s="269"/>
      <c r="I4" s="269"/>
      <c r="J4" s="269"/>
      <c r="K4" s="430"/>
      <c r="L4" s="430"/>
      <c r="M4" s="430"/>
      <c r="N4" s="430"/>
      <c r="O4" s="430"/>
      <c r="P4" s="430"/>
      <c r="Q4" s="430"/>
    </row>
    <row r="5" spans="1:17" ht="18.75" x14ac:dyDescent="0.3">
      <c r="A5" s="473"/>
      <c r="B5" s="313"/>
      <c r="C5" s="313"/>
      <c r="D5" s="313"/>
      <c r="E5" s="313"/>
      <c r="F5" s="313"/>
      <c r="G5" s="313"/>
      <c r="H5" s="313"/>
      <c r="I5" s="147"/>
      <c r="J5" s="429" t="s">
        <v>76</v>
      </c>
    </row>
    <row r="6" spans="1:17" s="247" customFormat="1" ht="28.9" customHeight="1" x14ac:dyDescent="0.25">
      <c r="A6" s="548" t="s">
        <v>366</v>
      </c>
      <c r="B6" s="548" t="s">
        <v>367</v>
      </c>
      <c r="C6" s="548" t="s">
        <v>280</v>
      </c>
      <c r="D6" s="576" t="s">
        <v>374</v>
      </c>
      <c r="E6" s="576" t="s">
        <v>285</v>
      </c>
      <c r="F6" s="578" t="s">
        <v>286</v>
      </c>
      <c r="G6" s="576" t="s">
        <v>156</v>
      </c>
      <c r="H6" s="576" t="s">
        <v>17</v>
      </c>
      <c r="I6" s="576" t="s">
        <v>18</v>
      </c>
      <c r="J6" s="576"/>
      <c r="K6" s="431"/>
      <c r="L6" s="431"/>
      <c r="M6" s="431"/>
      <c r="N6" s="431"/>
      <c r="O6" s="431"/>
      <c r="P6" s="431"/>
      <c r="Q6" s="431"/>
    </row>
    <row r="7" spans="1:17" s="248" customFormat="1" ht="108" customHeight="1" x14ac:dyDescent="0.2">
      <c r="A7" s="586"/>
      <c r="B7" s="586"/>
      <c r="C7" s="586"/>
      <c r="D7" s="576"/>
      <c r="E7" s="576"/>
      <c r="F7" s="578"/>
      <c r="G7" s="576"/>
      <c r="H7" s="576"/>
      <c r="I7" s="6" t="s">
        <v>158</v>
      </c>
      <c r="J7" s="6" t="s">
        <v>157</v>
      </c>
      <c r="K7" s="432"/>
      <c r="L7" s="432"/>
      <c r="M7" s="432"/>
      <c r="N7" s="432"/>
      <c r="O7" s="432"/>
      <c r="P7" s="432"/>
      <c r="Q7" s="432"/>
    </row>
    <row r="8" spans="1:17" s="247" customFormat="1" ht="15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431"/>
      <c r="L8" s="431"/>
      <c r="M8" s="431"/>
      <c r="N8" s="431"/>
      <c r="O8" s="431"/>
      <c r="P8" s="431"/>
      <c r="Q8" s="431"/>
    </row>
    <row r="9" spans="1:17" s="248" customFormat="1" ht="18" customHeight="1" x14ac:dyDescent="0.2">
      <c r="A9" s="444">
        <v>100000</v>
      </c>
      <c r="B9" s="445"/>
      <c r="C9" s="445"/>
      <c r="D9" s="587" t="s">
        <v>270</v>
      </c>
      <c r="E9" s="587"/>
      <c r="F9" s="194"/>
      <c r="G9" s="183">
        <f>G10</f>
        <v>6700800</v>
      </c>
      <c r="H9" s="183">
        <f>H10</f>
        <v>6700800</v>
      </c>
      <c r="I9" s="183">
        <f>I10</f>
        <v>0</v>
      </c>
      <c r="J9" s="183">
        <f>J10</f>
        <v>0</v>
      </c>
      <c r="K9" s="432"/>
      <c r="L9" s="432"/>
      <c r="M9" s="432"/>
      <c r="N9" s="432"/>
      <c r="O9" s="432"/>
      <c r="P9" s="432"/>
      <c r="Q9" s="432"/>
    </row>
    <row r="10" spans="1:17" s="247" customFormat="1" ht="18" customHeight="1" x14ac:dyDescent="0.25">
      <c r="A10" s="193">
        <v>110000</v>
      </c>
      <c r="B10" s="181"/>
      <c r="C10" s="181"/>
      <c r="D10" s="588" t="s">
        <v>270</v>
      </c>
      <c r="E10" s="588"/>
      <c r="F10" s="194"/>
      <c r="G10" s="183">
        <f>SUM(G11:G33)</f>
        <v>6700800</v>
      </c>
      <c r="H10" s="183">
        <f>SUM(H11:H33)</f>
        <v>6700800</v>
      </c>
      <c r="I10" s="183">
        <f>SUM(I11:I33)</f>
        <v>0</v>
      </c>
      <c r="J10" s="183">
        <f>SUM(J11:J33)</f>
        <v>0</v>
      </c>
      <c r="K10" s="431"/>
      <c r="L10" s="431"/>
      <c r="M10" s="431"/>
      <c r="N10" s="431"/>
      <c r="O10" s="431"/>
      <c r="P10" s="431"/>
      <c r="Q10" s="431"/>
    </row>
    <row r="11" spans="1:17" s="247" customFormat="1" ht="63.75" hidden="1" customHeight="1" x14ac:dyDescent="0.25">
      <c r="A11" s="446" t="s">
        <v>253</v>
      </c>
      <c r="B11" s="446" t="s">
        <v>117</v>
      </c>
      <c r="C11" s="446" t="s">
        <v>118</v>
      </c>
      <c r="D11" s="447" t="s">
        <v>119</v>
      </c>
      <c r="E11" s="481" t="s">
        <v>339</v>
      </c>
      <c r="F11" s="159" t="s">
        <v>249</v>
      </c>
      <c r="G11" s="179">
        <f t="shared" ref="G11:G31" si="0">SUM(H11:I11)</f>
        <v>0</v>
      </c>
      <c r="H11" s="187"/>
      <c r="I11" s="442"/>
      <c r="J11" s="442"/>
      <c r="K11" s="431"/>
      <c r="L11" s="431"/>
      <c r="M11" s="431"/>
      <c r="N11" s="431"/>
      <c r="O11" s="431"/>
      <c r="P11" s="431"/>
      <c r="Q11" s="431"/>
    </row>
    <row r="12" spans="1:17" s="247" customFormat="1" ht="60" x14ac:dyDescent="0.25">
      <c r="A12" s="446" t="s">
        <v>253</v>
      </c>
      <c r="B12" s="446" t="s">
        <v>117</v>
      </c>
      <c r="C12" s="446" t="s">
        <v>118</v>
      </c>
      <c r="D12" s="447" t="s">
        <v>119</v>
      </c>
      <c r="E12" s="482" t="s">
        <v>349</v>
      </c>
      <c r="F12" s="443" t="s">
        <v>384</v>
      </c>
      <c r="G12" s="179">
        <f t="shared" si="0"/>
        <v>300000</v>
      </c>
      <c r="H12" s="187">
        <v>300000</v>
      </c>
      <c r="I12" s="442"/>
      <c r="J12" s="442"/>
      <c r="K12" s="431"/>
      <c r="L12" s="431"/>
      <c r="M12" s="431"/>
      <c r="N12" s="431"/>
      <c r="O12" s="431"/>
      <c r="P12" s="431"/>
      <c r="Q12" s="431"/>
    </row>
    <row r="13" spans="1:17" s="247" customFormat="1" ht="45" customHeight="1" x14ac:dyDescent="0.25">
      <c r="A13" s="451" t="s">
        <v>288</v>
      </c>
      <c r="B13" s="448">
        <v>2080</v>
      </c>
      <c r="C13" s="449">
        <v>721</v>
      </c>
      <c r="D13" s="450" t="s">
        <v>289</v>
      </c>
      <c r="E13" s="589" t="s">
        <v>356</v>
      </c>
      <c r="F13" s="579" t="s">
        <v>414</v>
      </c>
      <c r="G13" s="179">
        <f t="shared" si="0"/>
        <v>3600000</v>
      </c>
      <c r="H13" s="187">
        <v>3600000</v>
      </c>
      <c r="I13" s="442"/>
      <c r="J13" s="442"/>
      <c r="K13" s="431"/>
      <c r="L13" s="431"/>
      <c r="M13" s="431"/>
      <c r="N13" s="431"/>
      <c r="O13" s="431"/>
      <c r="P13" s="431"/>
      <c r="Q13" s="431"/>
    </row>
    <row r="14" spans="1:17" s="247" customFormat="1" ht="45" x14ac:dyDescent="0.25">
      <c r="A14" s="451" t="s">
        <v>254</v>
      </c>
      <c r="B14" s="448">
        <v>2144</v>
      </c>
      <c r="C14" s="449">
        <v>763</v>
      </c>
      <c r="D14" s="447" t="s">
        <v>107</v>
      </c>
      <c r="E14" s="589"/>
      <c r="F14" s="579"/>
      <c r="G14" s="179">
        <f t="shared" si="0"/>
        <v>75600</v>
      </c>
      <c r="H14" s="452">
        <v>75600</v>
      </c>
      <c r="I14" s="442"/>
      <c r="J14" s="442"/>
      <c r="K14" s="431"/>
      <c r="L14" s="431"/>
      <c r="M14" s="431"/>
      <c r="N14" s="431"/>
      <c r="O14" s="431"/>
      <c r="P14" s="431"/>
      <c r="Q14" s="431"/>
    </row>
    <row r="15" spans="1:17" s="247" customFormat="1" ht="45" hidden="1" x14ac:dyDescent="0.25">
      <c r="A15" s="451" t="s">
        <v>255</v>
      </c>
      <c r="B15" s="448">
        <v>2146</v>
      </c>
      <c r="C15" s="449">
        <v>763</v>
      </c>
      <c r="D15" s="447" t="s">
        <v>134</v>
      </c>
      <c r="E15" s="474"/>
      <c r="F15" s="479"/>
      <c r="G15" s="179">
        <f t="shared" si="0"/>
        <v>0</v>
      </c>
      <c r="H15" s="452"/>
      <c r="I15" s="442"/>
      <c r="J15" s="442"/>
      <c r="K15" s="431"/>
      <c r="L15" s="431"/>
      <c r="M15" s="431"/>
      <c r="N15" s="431"/>
      <c r="O15" s="431"/>
      <c r="P15" s="431"/>
      <c r="Q15" s="431"/>
    </row>
    <row r="16" spans="1:17" s="247" customFormat="1" ht="30" hidden="1" x14ac:dyDescent="0.25">
      <c r="A16" s="451" t="s">
        <v>256</v>
      </c>
      <c r="B16" s="453" t="s">
        <v>153</v>
      </c>
      <c r="C16" s="454" t="s">
        <v>154</v>
      </c>
      <c r="D16" s="455" t="s">
        <v>155</v>
      </c>
      <c r="E16" s="474"/>
      <c r="F16" s="479"/>
      <c r="G16" s="179">
        <f t="shared" si="0"/>
        <v>0</v>
      </c>
      <c r="H16" s="187"/>
      <c r="I16" s="442"/>
      <c r="J16" s="442"/>
      <c r="K16" s="431"/>
      <c r="L16" s="431"/>
      <c r="M16" s="431"/>
      <c r="N16" s="431"/>
      <c r="O16" s="431"/>
      <c r="P16" s="431"/>
      <c r="Q16" s="431"/>
    </row>
    <row r="17" spans="1:18" s="247" customFormat="1" ht="60" x14ac:dyDescent="0.25">
      <c r="A17" s="451" t="s">
        <v>257</v>
      </c>
      <c r="B17" s="448">
        <v>2111</v>
      </c>
      <c r="C17" s="449">
        <v>726</v>
      </c>
      <c r="D17" s="447" t="s">
        <v>135</v>
      </c>
      <c r="E17" s="474" t="s">
        <v>232</v>
      </c>
      <c r="F17" s="479" t="s">
        <v>190</v>
      </c>
      <c r="G17" s="179">
        <f t="shared" si="0"/>
        <v>900000</v>
      </c>
      <c r="H17" s="187">
        <v>900000</v>
      </c>
      <c r="I17" s="442"/>
      <c r="J17" s="442"/>
      <c r="K17" s="431"/>
      <c r="L17" s="431"/>
      <c r="M17" s="431"/>
      <c r="N17" s="431"/>
      <c r="O17" s="431"/>
      <c r="P17" s="431"/>
      <c r="Q17" s="431"/>
    </row>
    <row r="18" spans="1:18" s="247" customFormat="1" ht="90" x14ac:dyDescent="0.25">
      <c r="A18" s="451" t="s">
        <v>257</v>
      </c>
      <c r="B18" s="448">
        <v>2111</v>
      </c>
      <c r="C18" s="449">
        <v>726</v>
      </c>
      <c r="D18" s="447" t="s">
        <v>135</v>
      </c>
      <c r="E18" s="474" t="s">
        <v>336</v>
      </c>
      <c r="F18" s="479" t="s">
        <v>406</v>
      </c>
      <c r="G18" s="179">
        <f t="shared" si="0"/>
        <v>500000</v>
      </c>
      <c r="H18" s="187">
        <v>500000</v>
      </c>
      <c r="I18" s="442"/>
      <c r="J18" s="442"/>
      <c r="K18" s="431"/>
      <c r="L18" s="431"/>
      <c r="M18" s="431"/>
      <c r="N18" s="431"/>
      <c r="O18" s="431"/>
      <c r="P18" s="431"/>
      <c r="Q18" s="431"/>
    </row>
    <row r="19" spans="1:18" s="247" customFormat="1" ht="58.5" customHeight="1" x14ac:dyDescent="0.25">
      <c r="A19" s="446" t="s">
        <v>258</v>
      </c>
      <c r="B19" s="448">
        <v>3112</v>
      </c>
      <c r="C19" s="456">
        <v>1040</v>
      </c>
      <c r="D19" s="447" t="s">
        <v>83</v>
      </c>
      <c r="E19" s="474" t="s">
        <v>173</v>
      </c>
      <c r="F19" s="159" t="s">
        <v>186</v>
      </c>
      <c r="G19" s="179">
        <f t="shared" si="0"/>
        <v>45000</v>
      </c>
      <c r="H19" s="187">
        <v>45000</v>
      </c>
      <c r="I19" s="442"/>
      <c r="J19" s="442"/>
      <c r="K19" s="431"/>
      <c r="L19" s="431"/>
      <c r="M19" s="431"/>
      <c r="N19" s="431"/>
      <c r="O19" s="431"/>
      <c r="P19" s="431"/>
      <c r="Q19" s="431"/>
    </row>
    <row r="20" spans="1:18" s="247" customFormat="1" ht="60" x14ac:dyDescent="0.25">
      <c r="A20" s="446" t="s">
        <v>258</v>
      </c>
      <c r="B20" s="448">
        <v>3112</v>
      </c>
      <c r="C20" s="456">
        <v>1040</v>
      </c>
      <c r="D20" s="447" t="s">
        <v>83</v>
      </c>
      <c r="E20" s="474" t="s">
        <v>174</v>
      </c>
      <c r="F20" s="159" t="s">
        <v>187</v>
      </c>
      <c r="G20" s="179">
        <f t="shared" si="0"/>
        <v>10000</v>
      </c>
      <c r="H20" s="187">
        <v>10000</v>
      </c>
      <c r="I20" s="442"/>
      <c r="J20" s="442"/>
      <c r="K20" s="431"/>
      <c r="L20" s="431"/>
      <c r="M20" s="431"/>
      <c r="N20" s="431"/>
      <c r="O20" s="431"/>
      <c r="P20" s="431"/>
      <c r="Q20" s="431"/>
    </row>
    <row r="21" spans="1:18" s="247" customFormat="1" ht="60" x14ac:dyDescent="0.25">
      <c r="A21" s="446" t="s">
        <v>259</v>
      </c>
      <c r="B21" s="448">
        <v>3121</v>
      </c>
      <c r="C21" s="456">
        <v>1040</v>
      </c>
      <c r="D21" s="447" t="s">
        <v>109</v>
      </c>
      <c r="E21" s="474" t="s">
        <v>175</v>
      </c>
      <c r="F21" s="159" t="s">
        <v>387</v>
      </c>
      <c r="G21" s="179">
        <f t="shared" si="0"/>
        <v>28000</v>
      </c>
      <c r="H21" s="187">
        <v>28000</v>
      </c>
      <c r="I21" s="442"/>
      <c r="J21" s="442"/>
      <c r="K21" s="431"/>
      <c r="L21" s="431"/>
      <c r="M21" s="431"/>
      <c r="N21" s="431"/>
      <c r="O21" s="431"/>
      <c r="P21" s="431"/>
      <c r="Q21" s="431"/>
    </row>
    <row r="22" spans="1:18" s="247" customFormat="1" ht="30" hidden="1" x14ac:dyDescent="0.25">
      <c r="A22" s="446" t="s">
        <v>260</v>
      </c>
      <c r="B22" s="448">
        <v>7321</v>
      </c>
      <c r="C22" s="449">
        <v>443</v>
      </c>
      <c r="D22" s="457" t="s">
        <v>222</v>
      </c>
      <c r="E22" s="580" t="s">
        <v>2</v>
      </c>
      <c r="F22" s="581" t="s">
        <v>273</v>
      </c>
      <c r="G22" s="179">
        <f t="shared" si="0"/>
        <v>0</v>
      </c>
      <c r="H22" s="187"/>
      <c r="I22" s="458"/>
      <c r="J22" s="458"/>
      <c r="K22" s="431"/>
      <c r="L22" s="431"/>
      <c r="M22" s="431"/>
      <c r="N22" s="431"/>
      <c r="O22" s="431"/>
      <c r="P22" s="431"/>
      <c r="Q22" s="431"/>
    </row>
    <row r="23" spans="1:18" s="247" customFormat="1" ht="30" hidden="1" x14ac:dyDescent="0.25">
      <c r="A23" s="446" t="s">
        <v>261</v>
      </c>
      <c r="B23" s="448">
        <v>7322</v>
      </c>
      <c r="C23" s="449">
        <v>443</v>
      </c>
      <c r="D23" s="457" t="s">
        <v>223</v>
      </c>
      <c r="E23" s="580"/>
      <c r="F23" s="581"/>
      <c r="G23" s="179">
        <f t="shared" si="0"/>
        <v>0</v>
      </c>
      <c r="H23" s="187"/>
      <c r="I23" s="458"/>
      <c r="J23" s="458"/>
      <c r="K23" s="431"/>
      <c r="L23" s="431"/>
      <c r="M23" s="431"/>
      <c r="N23" s="431"/>
      <c r="O23" s="431"/>
      <c r="P23" s="431"/>
      <c r="Q23" s="431"/>
    </row>
    <row r="24" spans="1:18" s="247" customFormat="1" ht="30" hidden="1" x14ac:dyDescent="0.25">
      <c r="A24" s="446" t="s">
        <v>260</v>
      </c>
      <c r="B24" s="448">
        <v>7323</v>
      </c>
      <c r="C24" s="449">
        <v>443</v>
      </c>
      <c r="D24" s="457" t="s">
        <v>224</v>
      </c>
      <c r="E24" s="580"/>
      <c r="F24" s="581"/>
      <c r="G24" s="179">
        <f t="shared" si="0"/>
        <v>0</v>
      </c>
      <c r="H24" s="187"/>
      <c r="I24" s="458"/>
      <c r="J24" s="458"/>
      <c r="K24" s="431"/>
      <c r="L24" s="431"/>
      <c r="M24" s="431"/>
      <c r="N24" s="431"/>
      <c r="O24" s="431"/>
      <c r="P24" s="431"/>
      <c r="Q24" s="431"/>
    </row>
    <row r="25" spans="1:18" s="247" customFormat="1" ht="89.25" hidden="1" customHeight="1" x14ac:dyDescent="0.25">
      <c r="A25" s="446" t="s">
        <v>262</v>
      </c>
      <c r="B25" s="448">
        <v>7361</v>
      </c>
      <c r="C25" s="449">
        <v>490</v>
      </c>
      <c r="D25" s="447" t="s">
        <v>228</v>
      </c>
      <c r="E25" s="474" t="s">
        <v>0</v>
      </c>
      <c r="F25" s="159" t="s">
        <v>274</v>
      </c>
      <c r="G25" s="179">
        <f t="shared" si="0"/>
        <v>0</v>
      </c>
      <c r="H25" s="187"/>
      <c r="I25" s="442"/>
      <c r="J25" s="442"/>
      <c r="K25" s="431"/>
      <c r="L25" s="431"/>
      <c r="M25" s="431"/>
      <c r="N25" s="431"/>
      <c r="O25" s="431"/>
      <c r="P25" s="431"/>
      <c r="Q25" s="431"/>
    </row>
    <row r="26" spans="1:18" s="247" customFormat="1" ht="75" hidden="1" customHeight="1" x14ac:dyDescent="0.25">
      <c r="A26" s="446" t="s">
        <v>262</v>
      </c>
      <c r="B26" s="448">
        <v>7361</v>
      </c>
      <c r="C26" s="449">
        <v>490</v>
      </c>
      <c r="D26" s="447" t="s">
        <v>228</v>
      </c>
      <c r="E26" s="474" t="s">
        <v>1</v>
      </c>
      <c r="F26" s="159" t="s">
        <v>275</v>
      </c>
      <c r="G26" s="179">
        <f t="shared" si="0"/>
        <v>0</v>
      </c>
      <c r="H26" s="187"/>
      <c r="I26" s="442"/>
      <c r="J26" s="442"/>
      <c r="K26" s="431"/>
      <c r="L26" s="431"/>
      <c r="M26" s="431"/>
      <c r="N26" s="431"/>
      <c r="O26" s="431"/>
      <c r="P26" s="431"/>
      <c r="Q26" s="431"/>
    </row>
    <row r="27" spans="1:18" s="5" customFormat="1" ht="45" x14ac:dyDescent="0.25">
      <c r="A27" s="496" t="s">
        <v>341</v>
      </c>
      <c r="B27" s="90">
        <v>7520</v>
      </c>
      <c r="C27" s="91">
        <v>490</v>
      </c>
      <c r="D27" s="475" t="s">
        <v>342</v>
      </c>
      <c r="E27" s="474" t="s">
        <v>350</v>
      </c>
      <c r="F27" s="504" t="s">
        <v>385</v>
      </c>
      <c r="G27" s="179">
        <f t="shared" si="0"/>
        <v>460200</v>
      </c>
      <c r="H27" s="187">
        <v>460200</v>
      </c>
      <c r="I27" s="442"/>
      <c r="J27" s="442"/>
      <c r="K27" s="497"/>
      <c r="L27" s="497"/>
      <c r="M27" s="497"/>
      <c r="N27" s="497"/>
      <c r="O27" s="497"/>
      <c r="P27" s="497"/>
      <c r="Q27" s="497"/>
    </row>
    <row r="28" spans="1:18" s="129" customFormat="1" ht="45.75" x14ac:dyDescent="0.3">
      <c r="A28" s="446" t="s">
        <v>329</v>
      </c>
      <c r="B28" s="448">
        <v>7693</v>
      </c>
      <c r="C28" s="449">
        <v>490</v>
      </c>
      <c r="D28" s="468" t="s">
        <v>290</v>
      </c>
      <c r="E28" s="503" t="s">
        <v>337</v>
      </c>
      <c r="F28" s="504" t="s">
        <v>413</v>
      </c>
      <c r="G28" s="179">
        <f t="shared" si="0"/>
        <v>75000</v>
      </c>
      <c r="H28" s="452">
        <v>75000</v>
      </c>
      <c r="I28" s="452"/>
      <c r="J28" s="467"/>
      <c r="K28" s="433"/>
      <c r="L28" s="434"/>
      <c r="M28" s="434"/>
      <c r="N28" s="434"/>
      <c r="O28" s="434"/>
      <c r="P28" s="434"/>
      <c r="Q28" s="435"/>
      <c r="R28" s="103"/>
    </row>
    <row r="29" spans="1:18" s="247" customFormat="1" ht="90" x14ac:dyDescent="0.25">
      <c r="A29" s="446" t="s">
        <v>263</v>
      </c>
      <c r="B29" s="448">
        <v>8110</v>
      </c>
      <c r="C29" s="449">
        <v>320</v>
      </c>
      <c r="D29" s="447" t="s">
        <v>176</v>
      </c>
      <c r="E29" s="474" t="s">
        <v>177</v>
      </c>
      <c r="F29" s="159" t="s">
        <v>185</v>
      </c>
      <c r="G29" s="179">
        <f t="shared" si="0"/>
        <v>595000</v>
      </c>
      <c r="H29" s="187">
        <v>595000</v>
      </c>
      <c r="I29" s="442"/>
      <c r="J29" s="442"/>
      <c r="K29" s="431"/>
      <c r="L29" s="431"/>
      <c r="M29" s="431"/>
      <c r="N29" s="431"/>
      <c r="O29" s="431"/>
      <c r="P29" s="431"/>
      <c r="Q29" s="431"/>
    </row>
    <row r="30" spans="1:18" s="247" customFormat="1" ht="60" x14ac:dyDescent="0.25">
      <c r="A30" s="446" t="s">
        <v>264</v>
      </c>
      <c r="B30" s="448">
        <v>8220</v>
      </c>
      <c r="C30" s="449">
        <v>380</v>
      </c>
      <c r="D30" s="447" t="s">
        <v>241</v>
      </c>
      <c r="E30" s="474" t="s">
        <v>294</v>
      </c>
      <c r="F30" s="159" t="s">
        <v>242</v>
      </c>
      <c r="G30" s="179">
        <f t="shared" si="0"/>
        <v>40000</v>
      </c>
      <c r="H30" s="187">
        <v>40000</v>
      </c>
      <c r="I30" s="442"/>
      <c r="J30" s="442"/>
      <c r="K30" s="431"/>
      <c r="L30" s="431"/>
      <c r="M30" s="431"/>
      <c r="N30" s="431"/>
      <c r="O30" s="431"/>
      <c r="P30" s="431"/>
      <c r="Q30" s="431"/>
    </row>
    <row r="31" spans="1:18" s="247" customFormat="1" ht="45" x14ac:dyDescent="0.25">
      <c r="A31" s="446" t="s">
        <v>265</v>
      </c>
      <c r="B31" s="448">
        <v>8230</v>
      </c>
      <c r="C31" s="449">
        <v>380</v>
      </c>
      <c r="D31" s="447" t="s">
        <v>240</v>
      </c>
      <c r="E31" s="481" t="s">
        <v>388</v>
      </c>
      <c r="F31" s="504" t="s">
        <v>383</v>
      </c>
      <c r="G31" s="179">
        <f t="shared" si="0"/>
        <v>72000</v>
      </c>
      <c r="H31" s="187">
        <v>72000</v>
      </c>
      <c r="I31" s="442"/>
      <c r="J31" s="442"/>
      <c r="K31" s="431"/>
      <c r="L31" s="431"/>
      <c r="M31" s="431"/>
      <c r="N31" s="431"/>
      <c r="O31" s="431"/>
      <c r="P31" s="431"/>
      <c r="Q31" s="431"/>
    </row>
    <row r="32" spans="1:18" s="247" customFormat="1" ht="15" hidden="1" x14ac:dyDescent="0.25">
      <c r="A32" s="446"/>
      <c r="B32" s="448"/>
      <c r="C32" s="449"/>
      <c r="D32" s="447"/>
      <c r="E32" s="257"/>
      <c r="F32" s="159"/>
      <c r="G32" s="179"/>
      <c r="H32" s="187"/>
      <c r="I32" s="442"/>
      <c r="J32" s="442"/>
      <c r="K32" s="431"/>
      <c r="L32" s="431"/>
      <c r="M32" s="431"/>
      <c r="N32" s="431"/>
      <c r="O32" s="431"/>
      <c r="P32" s="431"/>
      <c r="Q32" s="431"/>
    </row>
    <row r="33" spans="1:17" s="247" customFormat="1" ht="15" hidden="1" x14ac:dyDescent="0.25">
      <c r="A33" s="446"/>
      <c r="B33" s="448"/>
      <c r="C33" s="449"/>
      <c r="D33" s="447"/>
      <c r="E33" s="257"/>
      <c r="F33" s="159"/>
      <c r="G33" s="179"/>
      <c r="H33" s="187"/>
      <c r="I33" s="442"/>
      <c r="J33" s="442"/>
      <c r="K33" s="431"/>
      <c r="L33" s="431"/>
      <c r="M33" s="431"/>
      <c r="N33" s="431"/>
      <c r="O33" s="431"/>
      <c r="P33" s="431"/>
      <c r="Q33" s="431"/>
    </row>
    <row r="34" spans="1:17" s="250" customFormat="1" ht="18.75" customHeight="1" x14ac:dyDescent="0.25">
      <c r="A34" s="184" t="s">
        <v>100</v>
      </c>
      <c r="B34" s="181"/>
      <c r="C34" s="181"/>
      <c r="D34" s="582" t="s">
        <v>85</v>
      </c>
      <c r="E34" s="582"/>
      <c r="F34" s="182"/>
      <c r="G34" s="183">
        <f>G35</f>
        <v>213400</v>
      </c>
      <c r="H34" s="183">
        <f>H35</f>
        <v>213400</v>
      </c>
      <c r="I34" s="183">
        <f>I35</f>
        <v>0</v>
      </c>
      <c r="J34" s="183">
        <f>J35</f>
        <v>0</v>
      </c>
      <c r="K34" s="436"/>
      <c r="L34" s="436"/>
      <c r="M34" s="436"/>
      <c r="N34" s="436"/>
      <c r="O34" s="436"/>
      <c r="P34" s="436"/>
      <c r="Q34" s="436"/>
    </row>
    <row r="35" spans="1:17" s="250" customFormat="1" ht="18.75" customHeight="1" x14ac:dyDescent="0.25">
      <c r="A35" s="184" t="s">
        <v>101</v>
      </c>
      <c r="B35" s="181"/>
      <c r="C35" s="181"/>
      <c r="D35" s="582" t="s">
        <v>85</v>
      </c>
      <c r="E35" s="582"/>
      <c r="F35" s="182"/>
      <c r="G35" s="499">
        <f>SUM(G36:G39)</f>
        <v>213400</v>
      </c>
      <c r="H35" s="499">
        <f>SUM(H36:H39)</f>
        <v>213400</v>
      </c>
      <c r="I35" s="499">
        <f>SUM(I36:I39)</f>
        <v>0</v>
      </c>
      <c r="J35" s="499">
        <f>SUM(J36:J39)</f>
        <v>0</v>
      </c>
      <c r="K35" s="436"/>
      <c r="L35" s="436"/>
      <c r="M35" s="436"/>
      <c r="N35" s="436"/>
      <c r="O35" s="436"/>
      <c r="P35" s="436"/>
      <c r="Q35" s="436"/>
    </row>
    <row r="36" spans="1:17" s="247" customFormat="1" ht="30" x14ac:dyDescent="0.25">
      <c r="A36" s="446" t="s">
        <v>169</v>
      </c>
      <c r="B36" s="448">
        <v>3123</v>
      </c>
      <c r="C36" s="456">
        <v>1040</v>
      </c>
      <c r="D36" s="457" t="s">
        <v>133</v>
      </c>
      <c r="E36" s="596" t="s">
        <v>352</v>
      </c>
      <c r="F36" s="579" t="s">
        <v>415</v>
      </c>
      <c r="G36" s="179">
        <f>SUM(H36:I36)</f>
        <v>4000</v>
      </c>
      <c r="H36" s="187">
        <v>4000</v>
      </c>
      <c r="I36" s="442"/>
      <c r="J36" s="442"/>
      <c r="K36" s="431"/>
      <c r="L36" s="431"/>
      <c r="M36" s="431"/>
      <c r="N36" s="431"/>
      <c r="O36" s="431"/>
      <c r="P36" s="431"/>
      <c r="Q36" s="431"/>
    </row>
    <row r="37" spans="1:17" s="247" customFormat="1" ht="22.5" customHeight="1" x14ac:dyDescent="0.25">
      <c r="A37" s="89" t="s">
        <v>141</v>
      </c>
      <c r="B37" s="90">
        <v>1162</v>
      </c>
      <c r="C37" s="91">
        <v>990</v>
      </c>
      <c r="D37" s="86" t="s">
        <v>179</v>
      </c>
      <c r="E37" s="596"/>
      <c r="F37" s="579"/>
      <c r="G37" s="179">
        <f>SUM(H37:I37)</f>
        <v>115000</v>
      </c>
      <c r="H37" s="187">
        <v>115000</v>
      </c>
      <c r="I37" s="442"/>
      <c r="J37" s="442"/>
      <c r="K37" s="431"/>
      <c r="L37" s="431"/>
      <c r="M37" s="431"/>
      <c r="N37" s="431"/>
      <c r="O37" s="431"/>
      <c r="P37" s="431"/>
      <c r="Q37" s="431"/>
    </row>
    <row r="38" spans="1:17" s="247" customFormat="1" ht="45" x14ac:dyDescent="0.25">
      <c r="A38" s="89" t="s">
        <v>141</v>
      </c>
      <c r="B38" s="90">
        <v>1162</v>
      </c>
      <c r="C38" s="91">
        <v>990</v>
      </c>
      <c r="D38" s="86" t="s">
        <v>179</v>
      </c>
      <c r="E38" s="475" t="s">
        <v>330</v>
      </c>
      <c r="F38" s="159" t="s">
        <v>325</v>
      </c>
      <c r="G38" s="179">
        <f>SUM(H38:I38)</f>
        <v>10000</v>
      </c>
      <c r="H38" s="224">
        <v>10000</v>
      </c>
      <c r="I38" s="439"/>
      <c r="J38" s="439"/>
      <c r="K38" s="431"/>
      <c r="L38" s="431"/>
      <c r="M38" s="431"/>
      <c r="N38" s="431"/>
      <c r="O38" s="431"/>
      <c r="P38" s="431"/>
      <c r="Q38" s="431"/>
    </row>
    <row r="39" spans="1:17" s="5" customFormat="1" ht="45" x14ac:dyDescent="0.25">
      <c r="A39" s="496" t="s">
        <v>343</v>
      </c>
      <c r="B39" s="90">
        <v>7520</v>
      </c>
      <c r="C39" s="91">
        <v>490</v>
      </c>
      <c r="D39" s="475" t="s">
        <v>342</v>
      </c>
      <c r="E39" s="474" t="s">
        <v>350</v>
      </c>
      <c r="F39" s="504" t="s">
        <v>385</v>
      </c>
      <c r="G39" s="179">
        <f>SUM(H39:I39)</f>
        <v>84400</v>
      </c>
      <c r="H39" s="187">
        <v>84400</v>
      </c>
      <c r="I39" s="442"/>
      <c r="J39" s="442"/>
      <c r="K39" s="497"/>
      <c r="L39" s="497"/>
      <c r="M39" s="497"/>
      <c r="N39" s="497"/>
      <c r="O39" s="497"/>
      <c r="P39" s="497"/>
      <c r="Q39" s="497"/>
    </row>
    <row r="40" spans="1:17" s="247" customFormat="1" ht="33" customHeight="1" x14ac:dyDescent="0.25">
      <c r="A40" s="184" t="s">
        <v>95</v>
      </c>
      <c r="B40" s="181"/>
      <c r="C40" s="181"/>
      <c r="D40" s="582" t="s">
        <v>86</v>
      </c>
      <c r="E40" s="582"/>
      <c r="F40" s="478"/>
      <c r="G40" s="183">
        <f>G41</f>
        <v>719200</v>
      </c>
      <c r="H40" s="183">
        <f>H41</f>
        <v>694200</v>
      </c>
      <c r="I40" s="183">
        <f>I41</f>
        <v>25000</v>
      </c>
      <c r="J40" s="183">
        <f>J41</f>
        <v>0</v>
      </c>
      <c r="K40" s="431"/>
      <c r="L40" s="431"/>
      <c r="M40" s="431"/>
      <c r="N40" s="431"/>
      <c r="O40" s="431"/>
      <c r="P40" s="431"/>
      <c r="Q40" s="431"/>
    </row>
    <row r="41" spans="1:17" s="247" customFormat="1" ht="28.5" customHeight="1" x14ac:dyDescent="0.25">
      <c r="A41" s="184" t="s">
        <v>96</v>
      </c>
      <c r="B41" s="181"/>
      <c r="C41" s="181"/>
      <c r="D41" s="582" t="s">
        <v>86</v>
      </c>
      <c r="E41" s="582"/>
      <c r="F41" s="478"/>
      <c r="G41" s="183">
        <f>SUM(G42:G47)</f>
        <v>719200</v>
      </c>
      <c r="H41" s="183">
        <f>SUM(H42:H47)</f>
        <v>694200</v>
      </c>
      <c r="I41" s="183">
        <f>SUM(I42:I47)</f>
        <v>25000</v>
      </c>
      <c r="J41" s="183">
        <f>SUM(J42:J47)</f>
        <v>0</v>
      </c>
      <c r="K41" s="431"/>
      <c r="L41" s="431"/>
      <c r="M41" s="431"/>
      <c r="N41" s="431"/>
      <c r="O41" s="431"/>
      <c r="P41" s="431"/>
      <c r="Q41" s="431"/>
    </row>
    <row r="42" spans="1:17" s="247" customFormat="1" ht="45" x14ac:dyDescent="0.25">
      <c r="A42" s="451" t="s">
        <v>291</v>
      </c>
      <c r="B42" s="448">
        <v>3031</v>
      </c>
      <c r="C42" s="459">
        <v>1030</v>
      </c>
      <c r="D42" s="460" t="s">
        <v>292</v>
      </c>
      <c r="E42" s="583" t="s">
        <v>295</v>
      </c>
      <c r="F42" s="579" t="s">
        <v>412</v>
      </c>
      <c r="G42" s="179">
        <f t="shared" ref="G42:G47" si="1">SUM(H42:I42)</f>
        <v>50000</v>
      </c>
      <c r="H42" s="187">
        <v>50000</v>
      </c>
      <c r="I42" s="187"/>
      <c r="J42" s="187"/>
      <c r="K42" s="431"/>
      <c r="L42" s="431"/>
      <c r="M42" s="431"/>
      <c r="N42" s="431"/>
      <c r="O42" s="431"/>
      <c r="P42" s="431"/>
      <c r="Q42" s="431"/>
    </row>
    <row r="43" spans="1:17" s="247" customFormat="1" ht="30.75" customHeight="1" x14ac:dyDescent="0.25">
      <c r="A43" s="451" t="s">
        <v>97</v>
      </c>
      <c r="B43" s="448">
        <v>3032</v>
      </c>
      <c r="C43" s="459">
        <v>1070</v>
      </c>
      <c r="D43" s="475" t="s">
        <v>98</v>
      </c>
      <c r="E43" s="584"/>
      <c r="F43" s="579"/>
      <c r="G43" s="179">
        <f t="shared" si="1"/>
        <v>10000</v>
      </c>
      <c r="H43" s="187">
        <v>10000</v>
      </c>
      <c r="I43" s="187"/>
      <c r="J43" s="187"/>
      <c r="K43" s="431"/>
      <c r="L43" s="431"/>
      <c r="M43" s="431"/>
      <c r="N43" s="431"/>
      <c r="O43" s="431"/>
      <c r="P43" s="431"/>
      <c r="Q43" s="431"/>
    </row>
    <row r="44" spans="1:17" s="247" customFormat="1" ht="90" x14ac:dyDescent="0.25">
      <c r="A44" s="446" t="s">
        <v>137</v>
      </c>
      <c r="B44" s="448">
        <v>3104</v>
      </c>
      <c r="C44" s="449">
        <v>1020</v>
      </c>
      <c r="D44" s="457" t="s">
        <v>84</v>
      </c>
      <c r="E44" s="584"/>
      <c r="F44" s="579"/>
      <c r="G44" s="179">
        <f t="shared" si="1"/>
        <v>25000</v>
      </c>
      <c r="H44" s="187"/>
      <c r="I44" s="442">
        <v>25000</v>
      </c>
      <c r="J44" s="442"/>
      <c r="K44" s="431"/>
      <c r="L44" s="431"/>
      <c r="M44" s="431"/>
      <c r="N44" s="431"/>
      <c r="O44" s="431"/>
      <c r="P44" s="431"/>
      <c r="Q44" s="431"/>
    </row>
    <row r="45" spans="1:17" s="247" customFormat="1" ht="120" x14ac:dyDescent="0.25">
      <c r="A45" s="451" t="s">
        <v>99</v>
      </c>
      <c r="B45" s="448">
        <v>3160</v>
      </c>
      <c r="C45" s="459">
        <v>1010</v>
      </c>
      <c r="D45" s="460" t="s">
        <v>148</v>
      </c>
      <c r="E45" s="584"/>
      <c r="F45" s="579"/>
      <c r="G45" s="179">
        <f t="shared" si="1"/>
        <v>27600</v>
      </c>
      <c r="H45" s="187">
        <v>27600</v>
      </c>
      <c r="I45" s="442"/>
      <c r="J45" s="442"/>
      <c r="K45" s="431"/>
      <c r="L45" s="431"/>
      <c r="M45" s="431"/>
      <c r="N45" s="431"/>
      <c r="O45" s="431"/>
      <c r="P45" s="431"/>
      <c r="Q45" s="431"/>
    </row>
    <row r="46" spans="1:17" s="247" customFormat="1" ht="33" customHeight="1" x14ac:dyDescent="0.25">
      <c r="A46" s="446" t="s">
        <v>151</v>
      </c>
      <c r="B46" s="448">
        <v>3242</v>
      </c>
      <c r="C46" s="459">
        <v>1090</v>
      </c>
      <c r="D46" s="447" t="s">
        <v>152</v>
      </c>
      <c r="E46" s="585"/>
      <c r="F46" s="579"/>
      <c r="G46" s="179">
        <f t="shared" si="1"/>
        <v>550000</v>
      </c>
      <c r="H46" s="187">
        <v>550000</v>
      </c>
      <c r="I46" s="187"/>
      <c r="J46" s="442"/>
      <c r="K46" s="431"/>
      <c r="L46" s="431"/>
      <c r="M46" s="431"/>
      <c r="N46" s="431"/>
      <c r="O46" s="431"/>
      <c r="P46" s="431"/>
      <c r="Q46" s="431"/>
    </row>
    <row r="47" spans="1:17" s="247" customFormat="1" ht="51" customHeight="1" x14ac:dyDescent="0.25">
      <c r="A47" s="496" t="s">
        <v>344</v>
      </c>
      <c r="B47" s="90">
        <v>7520</v>
      </c>
      <c r="C47" s="91">
        <v>490</v>
      </c>
      <c r="D47" s="475" t="s">
        <v>342</v>
      </c>
      <c r="E47" s="474" t="s">
        <v>350</v>
      </c>
      <c r="F47" s="504" t="s">
        <v>385</v>
      </c>
      <c r="G47" s="179">
        <f t="shared" si="1"/>
        <v>56600</v>
      </c>
      <c r="H47" s="187">
        <v>56600</v>
      </c>
      <c r="I47" s="187"/>
      <c r="J47" s="442"/>
      <c r="K47" s="431"/>
      <c r="L47" s="431"/>
      <c r="M47" s="431"/>
      <c r="N47" s="431"/>
      <c r="O47" s="431"/>
      <c r="P47" s="431"/>
      <c r="Q47" s="431"/>
    </row>
    <row r="48" spans="1:17" s="247" customFormat="1" ht="18" customHeight="1" x14ac:dyDescent="0.25">
      <c r="A48" s="190">
        <v>1100000</v>
      </c>
      <c r="B48" s="181"/>
      <c r="C48" s="251"/>
      <c r="D48" s="582" t="s">
        <v>4</v>
      </c>
      <c r="E48" s="582"/>
      <c r="F48" s="182"/>
      <c r="G48" s="183">
        <f>G49</f>
        <v>173600</v>
      </c>
      <c r="H48" s="183">
        <f>H49</f>
        <v>158600</v>
      </c>
      <c r="I48" s="183">
        <f>I49</f>
        <v>15000</v>
      </c>
      <c r="J48" s="183">
        <f>J49</f>
        <v>0</v>
      </c>
      <c r="K48" s="431"/>
      <c r="L48" s="431"/>
      <c r="M48" s="431"/>
      <c r="N48" s="431"/>
      <c r="O48" s="431"/>
      <c r="P48" s="431"/>
      <c r="Q48" s="431"/>
    </row>
    <row r="49" spans="1:17" s="247" customFormat="1" ht="18" customHeight="1" x14ac:dyDescent="0.25">
      <c r="A49" s="193">
        <v>1110000</v>
      </c>
      <c r="B49" s="181"/>
      <c r="C49" s="251"/>
      <c r="D49" s="582" t="s">
        <v>4</v>
      </c>
      <c r="E49" s="582"/>
      <c r="F49" s="182"/>
      <c r="G49" s="183">
        <f>SUM(G50:G53)</f>
        <v>173600</v>
      </c>
      <c r="H49" s="183">
        <f>SUM(H50:H53)</f>
        <v>158600</v>
      </c>
      <c r="I49" s="183">
        <f>SUM(I50:I53)</f>
        <v>15000</v>
      </c>
      <c r="J49" s="183">
        <f>SUM(J50:J53)</f>
        <v>0</v>
      </c>
      <c r="K49" s="431"/>
      <c r="L49" s="431"/>
      <c r="M49" s="431"/>
      <c r="N49" s="431"/>
      <c r="O49" s="431"/>
      <c r="P49" s="431"/>
      <c r="Q49" s="431"/>
    </row>
    <row r="50" spans="1:17" s="247" customFormat="1" ht="60.75" customHeight="1" x14ac:dyDescent="0.25">
      <c r="A50" s="461">
        <v>1011100</v>
      </c>
      <c r="B50" s="448">
        <v>1100</v>
      </c>
      <c r="C50" s="449">
        <v>960</v>
      </c>
      <c r="D50" s="477" t="s">
        <v>94</v>
      </c>
      <c r="E50" s="474" t="s">
        <v>247</v>
      </c>
      <c r="F50" s="159" t="s">
        <v>248</v>
      </c>
      <c r="G50" s="179">
        <f>SUM(H50:I50)</f>
        <v>20000</v>
      </c>
      <c r="H50" s="179">
        <v>20000</v>
      </c>
      <c r="I50" s="179"/>
      <c r="J50" s="179"/>
      <c r="K50" s="431"/>
      <c r="L50" s="431"/>
      <c r="M50" s="431"/>
      <c r="N50" s="431"/>
      <c r="O50" s="431"/>
      <c r="P50" s="431"/>
      <c r="Q50" s="431"/>
    </row>
    <row r="51" spans="1:17" s="247" customFormat="1" ht="60" x14ac:dyDescent="0.25">
      <c r="A51" s="446" t="s">
        <v>293</v>
      </c>
      <c r="B51" s="448">
        <v>3210</v>
      </c>
      <c r="C51" s="456">
        <v>1050</v>
      </c>
      <c r="D51" s="475" t="s">
        <v>3</v>
      </c>
      <c r="E51" s="474" t="s">
        <v>338</v>
      </c>
      <c r="F51" s="159" t="s">
        <v>297</v>
      </c>
      <c r="G51" s="179">
        <f>SUM(H51:I51)</f>
        <v>30000</v>
      </c>
      <c r="H51" s="187">
        <v>15000</v>
      </c>
      <c r="I51" s="187">
        <v>15000</v>
      </c>
      <c r="J51" s="179"/>
      <c r="K51" s="431"/>
      <c r="L51" s="431"/>
      <c r="M51" s="431"/>
      <c r="N51" s="431"/>
      <c r="O51" s="431"/>
      <c r="P51" s="431"/>
      <c r="Q51" s="431"/>
    </row>
    <row r="52" spans="1:17" s="247" customFormat="1" ht="48.75" customHeight="1" x14ac:dyDescent="0.25">
      <c r="A52" s="461">
        <v>1014060</v>
      </c>
      <c r="B52" s="448">
        <v>4060</v>
      </c>
      <c r="C52" s="449">
        <v>828</v>
      </c>
      <c r="D52" s="475" t="s">
        <v>93</v>
      </c>
      <c r="E52" s="474" t="s">
        <v>247</v>
      </c>
      <c r="F52" s="159" t="s">
        <v>248</v>
      </c>
      <c r="G52" s="179">
        <f>SUM(H52:I52)</f>
        <v>80000</v>
      </c>
      <c r="H52" s="187">
        <v>80000</v>
      </c>
      <c r="I52" s="442"/>
      <c r="J52" s="442"/>
      <c r="K52" s="431"/>
      <c r="L52" s="431"/>
      <c r="M52" s="431"/>
      <c r="N52" s="431"/>
      <c r="O52" s="431"/>
      <c r="P52" s="431"/>
      <c r="Q52" s="431"/>
    </row>
    <row r="53" spans="1:17" s="247" customFormat="1" ht="45" x14ac:dyDescent="0.25">
      <c r="A53" s="496" t="s">
        <v>345</v>
      </c>
      <c r="B53" s="90">
        <v>7520</v>
      </c>
      <c r="C53" s="91">
        <v>490</v>
      </c>
      <c r="D53" s="475" t="s">
        <v>342</v>
      </c>
      <c r="E53" s="474" t="s">
        <v>350</v>
      </c>
      <c r="F53" s="504" t="s">
        <v>385</v>
      </c>
      <c r="G53" s="179">
        <f>SUM(H53:I53)</f>
        <v>43600</v>
      </c>
      <c r="H53" s="187">
        <v>43600</v>
      </c>
      <c r="I53" s="442"/>
      <c r="J53" s="442"/>
      <c r="K53" s="431"/>
      <c r="L53" s="431"/>
      <c r="M53" s="431"/>
      <c r="N53" s="431"/>
      <c r="O53" s="431"/>
      <c r="P53" s="431"/>
      <c r="Q53" s="431"/>
    </row>
    <row r="54" spans="1:17" s="247" customFormat="1" ht="18" customHeight="1" x14ac:dyDescent="0.25">
      <c r="A54" s="180">
        <v>1100000</v>
      </c>
      <c r="B54" s="181"/>
      <c r="C54" s="181"/>
      <c r="D54" s="582" t="s">
        <v>271</v>
      </c>
      <c r="E54" s="582"/>
      <c r="F54" s="182"/>
      <c r="G54" s="183">
        <f>G55</f>
        <v>637000</v>
      </c>
      <c r="H54" s="183">
        <f>H55</f>
        <v>637000</v>
      </c>
      <c r="I54" s="183">
        <f>I55</f>
        <v>0</v>
      </c>
      <c r="J54" s="183">
        <f>J55</f>
        <v>0</v>
      </c>
      <c r="K54" s="431"/>
      <c r="L54" s="431"/>
      <c r="M54" s="431"/>
      <c r="N54" s="431"/>
      <c r="O54" s="431"/>
      <c r="P54" s="431"/>
      <c r="Q54" s="431"/>
    </row>
    <row r="55" spans="1:17" s="247" customFormat="1" ht="18" customHeight="1" x14ac:dyDescent="0.25">
      <c r="A55" s="180">
        <v>1110000</v>
      </c>
      <c r="B55" s="181"/>
      <c r="C55" s="181"/>
      <c r="D55" s="582" t="s">
        <v>252</v>
      </c>
      <c r="E55" s="582"/>
      <c r="F55" s="182"/>
      <c r="G55" s="183">
        <f>SUM(H55:I55)</f>
        <v>637000</v>
      </c>
      <c r="H55" s="183">
        <f>SUM(H57:H62)</f>
        <v>637000</v>
      </c>
      <c r="I55" s="183">
        <f>SUM(I57:I61)</f>
        <v>0</v>
      </c>
      <c r="J55" s="183">
        <f>SUM(J57:J61)</f>
        <v>0</v>
      </c>
      <c r="K55" s="431"/>
      <c r="L55" s="431"/>
      <c r="M55" s="431"/>
      <c r="N55" s="431"/>
      <c r="O55" s="431"/>
      <c r="P55" s="431"/>
      <c r="Q55" s="431"/>
    </row>
    <row r="56" spans="1:17" s="247" customFormat="1" ht="15" hidden="1" customHeight="1" x14ac:dyDescent="0.25">
      <c r="A56" s="461">
        <v>1011220</v>
      </c>
      <c r="B56" s="448">
        <v>1220</v>
      </c>
      <c r="C56" s="449">
        <v>990</v>
      </c>
      <c r="D56" s="447" t="s">
        <v>180</v>
      </c>
      <c r="E56" s="258" t="s">
        <v>181</v>
      </c>
      <c r="F56" s="160"/>
      <c r="G56" s="179">
        <f t="shared" ref="G56:G62" si="2">SUM(H56:I56)</f>
        <v>0</v>
      </c>
      <c r="H56" s="187"/>
      <c r="I56" s="442"/>
      <c r="J56" s="442"/>
      <c r="K56" s="431"/>
      <c r="L56" s="431"/>
      <c r="M56" s="431"/>
      <c r="N56" s="431"/>
      <c r="O56" s="431"/>
      <c r="P56" s="431"/>
      <c r="Q56" s="431"/>
    </row>
    <row r="57" spans="1:17" s="247" customFormat="1" ht="90" x14ac:dyDescent="0.25">
      <c r="A57" s="446" t="s">
        <v>129</v>
      </c>
      <c r="B57" s="446" t="s">
        <v>130</v>
      </c>
      <c r="C57" s="446" t="s">
        <v>131</v>
      </c>
      <c r="D57" s="457" t="s">
        <v>132</v>
      </c>
      <c r="E57" s="474" t="s">
        <v>182</v>
      </c>
      <c r="F57" s="159" t="s">
        <v>184</v>
      </c>
      <c r="G57" s="179">
        <f t="shared" si="2"/>
        <v>220000</v>
      </c>
      <c r="H57" s="187">
        <v>220000</v>
      </c>
      <c r="I57" s="442"/>
      <c r="J57" s="442"/>
      <c r="K57" s="431"/>
      <c r="L57" s="431"/>
      <c r="M57" s="431"/>
      <c r="N57" s="431"/>
      <c r="O57" s="431"/>
      <c r="P57" s="431"/>
      <c r="Q57" s="431"/>
    </row>
    <row r="58" spans="1:17" s="247" customFormat="1" ht="50.25" customHeight="1" x14ac:dyDescent="0.25">
      <c r="A58" s="451" t="s">
        <v>121</v>
      </c>
      <c r="B58" s="448">
        <v>5011</v>
      </c>
      <c r="C58" s="449">
        <v>810</v>
      </c>
      <c r="D58" s="460" t="s">
        <v>81</v>
      </c>
      <c r="E58" s="592" t="s">
        <v>183</v>
      </c>
      <c r="F58" s="594" t="s">
        <v>238</v>
      </c>
      <c r="G58" s="179">
        <f t="shared" si="2"/>
        <v>250000</v>
      </c>
      <c r="H58" s="187">
        <v>250000</v>
      </c>
      <c r="I58" s="442"/>
      <c r="J58" s="442"/>
      <c r="K58" s="431"/>
      <c r="L58" s="431"/>
      <c r="M58" s="431"/>
      <c r="N58" s="431"/>
      <c r="O58" s="431"/>
      <c r="P58" s="431"/>
      <c r="Q58" s="431"/>
    </row>
    <row r="59" spans="1:17" s="247" customFormat="1" ht="45" x14ac:dyDescent="0.25">
      <c r="A59" s="451" t="s">
        <v>122</v>
      </c>
      <c r="B59" s="448">
        <v>5012</v>
      </c>
      <c r="C59" s="449">
        <v>810</v>
      </c>
      <c r="D59" s="457" t="s">
        <v>82</v>
      </c>
      <c r="E59" s="593"/>
      <c r="F59" s="595"/>
      <c r="G59" s="179">
        <f t="shared" si="2"/>
        <v>110000</v>
      </c>
      <c r="H59" s="187">
        <v>110000</v>
      </c>
      <c r="I59" s="442"/>
      <c r="J59" s="442"/>
      <c r="K59" s="431"/>
      <c r="L59" s="431"/>
      <c r="M59" s="431"/>
      <c r="N59" s="431"/>
      <c r="O59" s="431"/>
      <c r="P59" s="431"/>
      <c r="Q59" s="431"/>
    </row>
    <row r="60" spans="1:17" s="247" customFormat="1" ht="75" x14ac:dyDescent="0.25">
      <c r="A60" s="451" t="s">
        <v>123</v>
      </c>
      <c r="B60" s="448">
        <v>5061</v>
      </c>
      <c r="C60" s="449">
        <v>810</v>
      </c>
      <c r="D60" s="457" t="s">
        <v>88</v>
      </c>
      <c r="E60" s="592" t="s">
        <v>183</v>
      </c>
      <c r="F60" s="594" t="s">
        <v>238</v>
      </c>
      <c r="G60" s="179">
        <f t="shared" si="2"/>
        <v>19000</v>
      </c>
      <c r="H60" s="187">
        <v>19000</v>
      </c>
      <c r="I60" s="442"/>
      <c r="J60" s="442"/>
      <c r="K60" s="431"/>
      <c r="L60" s="431"/>
      <c r="M60" s="431"/>
      <c r="N60" s="431"/>
      <c r="O60" s="431"/>
      <c r="P60" s="431"/>
      <c r="Q60" s="431"/>
    </row>
    <row r="61" spans="1:17" s="247" customFormat="1" ht="48" customHeight="1" x14ac:dyDescent="0.25">
      <c r="A61" s="451" t="s">
        <v>124</v>
      </c>
      <c r="B61" s="448">
        <v>5062</v>
      </c>
      <c r="C61" s="449">
        <v>810</v>
      </c>
      <c r="D61" s="457" t="s">
        <v>89</v>
      </c>
      <c r="E61" s="593"/>
      <c r="F61" s="595"/>
      <c r="G61" s="179">
        <f t="shared" si="2"/>
        <v>9000</v>
      </c>
      <c r="H61" s="187">
        <v>9000</v>
      </c>
      <c r="I61" s="442"/>
      <c r="J61" s="442"/>
      <c r="K61" s="431"/>
      <c r="L61" s="431"/>
      <c r="M61" s="431"/>
      <c r="N61" s="431"/>
      <c r="O61" s="431"/>
      <c r="P61" s="431"/>
      <c r="Q61" s="431"/>
    </row>
    <row r="62" spans="1:17" s="247" customFormat="1" ht="45" x14ac:dyDescent="0.25">
      <c r="A62" s="496" t="s">
        <v>346</v>
      </c>
      <c r="B62" s="90">
        <v>7520</v>
      </c>
      <c r="C62" s="91">
        <v>490</v>
      </c>
      <c r="D62" s="475" t="s">
        <v>342</v>
      </c>
      <c r="E62" s="474" t="s">
        <v>350</v>
      </c>
      <c r="F62" s="504" t="s">
        <v>385</v>
      </c>
      <c r="G62" s="179">
        <f t="shared" si="2"/>
        <v>29000</v>
      </c>
      <c r="H62" s="187">
        <v>29000</v>
      </c>
      <c r="I62" s="442"/>
      <c r="J62" s="442"/>
      <c r="K62" s="431"/>
      <c r="L62" s="431"/>
      <c r="M62" s="431"/>
      <c r="N62" s="431"/>
      <c r="O62" s="431"/>
      <c r="P62" s="431"/>
      <c r="Q62" s="431"/>
    </row>
    <row r="63" spans="1:17" s="252" customFormat="1" ht="18" customHeight="1" x14ac:dyDescent="0.2">
      <c r="A63" s="180">
        <v>2700000</v>
      </c>
      <c r="B63" s="181"/>
      <c r="C63" s="181"/>
      <c r="D63" s="591" t="s">
        <v>211</v>
      </c>
      <c r="E63" s="591"/>
      <c r="F63" s="182"/>
      <c r="G63" s="183">
        <f>G64</f>
        <v>4550000</v>
      </c>
      <c r="H63" s="183">
        <f>H64</f>
        <v>3835000</v>
      </c>
      <c r="I63" s="183">
        <f>I64</f>
        <v>715000</v>
      </c>
      <c r="J63" s="183">
        <f>J64</f>
        <v>500000</v>
      </c>
      <c r="K63" s="437"/>
      <c r="L63" s="437"/>
      <c r="M63" s="437"/>
      <c r="N63" s="437"/>
      <c r="O63" s="437"/>
      <c r="P63" s="437"/>
      <c r="Q63" s="437"/>
    </row>
    <row r="64" spans="1:17" s="252" customFormat="1" ht="18" customHeight="1" x14ac:dyDescent="0.2">
      <c r="A64" s="180">
        <v>2710000</v>
      </c>
      <c r="B64" s="181"/>
      <c r="C64" s="181"/>
      <c r="D64" s="591" t="s">
        <v>211</v>
      </c>
      <c r="E64" s="591"/>
      <c r="F64" s="182"/>
      <c r="G64" s="183">
        <f t="shared" ref="G64:G79" si="3">SUM(H64:I64)</f>
        <v>4550000</v>
      </c>
      <c r="H64" s="183">
        <f>SUM(H65:H76)</f>
        <v>3835000</v>
      </c>
      <c r="I64" s="183">
        <f>SUM(I65:I76)</f>
        <v>715000</v>
      </c>
      <c r="J64" s="183">
        <f>SUM(J65:J76)</f>
        <v>500000</v>
      </c>
      <c r="K64" s="437"/>
      <c r="L64" s="437"/>
      <c r="M64" s="437"/>
      <c r="N64" s="437"/>
      <c r="O64" s="437"/>
      <c r="P64" s="437"/>
      <c r="Q64" s="437"/>
    </row>
    <row r="65" spans="1:17" s="247" customFormat="1" ht="45" x14ac:dyDescent="0.25">
      <c r="A65" s="446" t="s">
        <v>231</v>
      </c>
      <c r="B65" s="446" t="s">
        <v>117</v>
      </c>
      <c r="C65" s="446" t="s">
        <v>118</v>
      </c>
      <c r="D65" s="447" t="s">
        <v>119</v>
      </c>
      <c r="E65" s="483" t="s">
        <v>250</v>
      </c>
      <c r="F65" s="443" t="s">
        <v>411</v>
      </c>
      <c r="G65" s="187">
        <f t="shared" si="3"/>
        <v>500000</v>
      </c>
      <c r="H65" s="187">
        <v>250000</v>
      </c>
      <c r="I65" s="442">
        <v>250000</v>
      </c>
      <c r="J65" s="442">
        <v>250000</v>
      </c>
      <c r="K65" s="431"/>
      <c r="L65" s="431"/>
      <c r="M65" s="431"/>
      <c r="N65" s="431"/>
      <c r="O65" s="431"/>
      <c r="P65" s="431"/>
      <c r="Q65" s="431"/>
    </row>
    <row r="66" spans="1:17" s="247" customFormat="1" ht="60" x14ac:dyDescent="0.25">
      <c r="A66" s="446" t="s">
        <v>229</v>
      </c>
      <c r="B66" s="448">
        <v>3210</v>
      </c>
      <c r="C66" s="456">
        <v>1050</v>
      </c>
      <c r="D66" s="447" t="s">
        <v>3</v>
      </c>
      <c r="E66" s="474" t="s">
        <v>296</v>
      </c>
      <c r="F66" s="159" t="s">
        <v>410</v>
      </c>
      <c r="G66" s="187">
        <f t="shared" si="3"/>
        <v>270000</v>
      </c>
      <c r="H66" s="462">
        <v>135000</v>
      </c>
      <c r="I66" s="462">
        <v>135000</v>
      </c>
      <c r="J66" s="462"/>
      <c r="K66" s="431"/>
      <c r="L66" s="431"/>
      <c r="M66" s="431"/>
      <c r="N66" s="431"/>
      <c r="O66" s="431"/>
      <c r="P66" s="431"/>
      <c r="Q66" s="431"/>
    </row>
    <row r="67" spans="1:17" s="247" customFormat="1" ht="75" x14ac:dyDescent="0.25">
      <c r="A67" s="508" t="s">
        <v>361</v>
      </c>
      <c r="B67" s="90">
        <v>6015</v>
      </c>
      <c r="C67" s="508" t="s">
        <v>362</v>
      </c>
      <c r="D67" s="475" t="s">
        <v>363</v>
      </c>
      <c r="E67" s="474" t="s">
        <v>404</v>
      </c>
      <c r="F67" s="443" t="s">
        <v>409</v>
      </c>
      <c r="G67" s="187">
        <f t="shared" si="3"/>
        <v>250000</v>
      </c>
      <c r="H67" s="462"/>
      <c r="I67" s="462">
        <v>250000</v>
      </c>
      <c r="J67" s="462">
        <v>250000</v>
      </c>
      <c r="K67" s="431"/>
      <c r="L67" s="431"/>
      <c r="M67" s="431"/>
      <c r="N67" s="431"/>
      <c r="O67" s="431"/>
      <c r="P67" s="431"/>
      <c r="Q67" s="431"/>
    </row>
    <row r="68" spans="1:17" s="247" customFormat="1" ht="47.25" customHeight="1" x14ac:dyDescent="0.25">
      <c r="A68" s="446" t="s">
        <v>212</v>
      </c>
      <c r="B68" s="448">
        <v>6030</v>
      </c>
      <c r="C68" s="449">
        <v>620</v>
      </c>
      <c r="D68" s="475" t="s">
        <v>110</v>
      </c>
      <c r="E68" s="501" t="s">
        <v>353</v>
      </c>
      <c r="F68" s="504" t="s">
        <v>354</v>
      </c>
      <c r="G68" s="187">
        <f t="shared" si="3"/>
        <v>2700000</v>
      </c>
      <c r="H68" s="462">
        <v>2700000</v>
      </c>
      <c r="I68" s="462"/>
      <c r="J68" s="462"/>
      <c r="K68" s="431"/>
      <c r="L68" s="431"/>
      <c r="M68" s="431"/>
      <c r="N68" s="431"/>
      <c r="O68" s="431"/>
      <c r="P68" s="431"/>
      <c r="Q68" s="431"/>
    </row>
    <row r="69" spans="1:17" s="247" customFormat="1" ht="150" hidden="1" x14ac:dyDescent="0.25">
      <c r="A69" s="446" t="s">
        <v>213</v>
      </c>
      <c r="B69" s="448">
        <v>6071</v>
      </c>
      <c r="C69" s="449">
        <v>640</v>
      </c>
      <c r="D69" s="460" t="s">
        <v>298</v>
      </c>
      <c r="E69" s="484"/>
      <c r="F69" s="462"/>
      <c r="G69" s="187">
        <f t="shared" si="3"/>
        <v>0</v>
      </c>
      <c r="H69" s="462"/>
      <c r="I69" s="462"/>
      <c r="J69" s="462"/>
      <c r="K69" s="431"/>
      <c r="L69" s="431"/>
      <c r="M69" s="431"/>
      <c r="N69" s="431"/>
      <c r="O69" s="431"/>
      <c r="P69" s="431"/>
      <c r="Q69" s="431"/>
    </row>
    <row r="70" spans="1:17" s="247" customFormat="1" ht="45" x14ac:dyDescent="0.25">
      <c r="A70" s="446" t="s">
        <v>214</v>
      </c>
      <c r="B70" s="448">
        <v>7130</v>
      </c>
      <c r="C70" s="449">
        <v>421</v>
      </c>
      <c r="D70" s="447" t="s">
        <v>113</v>
      </c>
      <c r="E70" s="474" t="s">
        <v>188</v>
      </c>
      <c r="F70" s="479" t="s">
        <v>189</v>
      </c>
      <c r="G70" s="187">
        <f t="shared" si="3"/>
        <v>190000</v>
      </c>
      <c r="H70" s="462">
        <v>190000</v>
      </c>
      <c r="I70" s="462"/>
      <c r="J70" s="462"/>
      <c r="K70" s="431"/>
      <c r="L70" s="431"/>
      <c r="M70" s="431"/>
      <c r="N70" s="431"/>
      <c r="O70" s="431"/>
      <c r="P70" s="431"/>
      <c r="Q70" s="431"/>
    </row>
    <row r="71" spans="1:17" s="247" customFormat="1" ht="60" x14ac:dyDescent="0.25">
      <c r="A71" s="446" t="s">
        <v>215</v>
      </c>
      <c r="B71" s="448">
        <v>7350</v>
      </c>
      <c r="C71" s="449">
        <v>443</v>
      </c>
      <c r="D71" s="447" t="s">
        <v>112</v>
      </c>
      <c r="E71" s="176" t="s">
        <v>355</v>
      </c>
      <c r="F71" s="519" t="s">
        <v>408</v>
      </c>
      <c r="G71" s="187">
        <f t="shared" si="3"/>
        <v>100000</v>
      </c>
      <c r="H71" s="462">
        <v>100000</v>
      </c>
      <c r="I71" s="462"/>
      <c r="J71" s="462"/>
      <c r="K71" s="431"/>
      <c r="L71" s="431"/>
      <c r="M71" s="431"/>
      <c r="N71" s="431"/>
      <c r="O71" s="431"/>
      <c r="P71" s="431"/>
      <c r="Q71" s="431"/>
    </row>
    <row r="72" spans="1:17" s="247" customFormat="1" ht="63.75" customHeight="1" x14ac:dyDescent="0.25">
      <c r="A72" s="446" t="s">
        <v>216</v>
      </c>
      <c r="B72" s="448">
        <v>7461</v>
      </c>
      <c r="C72" s="449">
        <v>456</v>
      </c>
      <c r="D72" s="447" t="s">
        <v>170</v>
      </c>
      <c r="E72" s="176" t="s">
        <v>357</v>
      </c>
      <c r="F72" s="518" t="s">
        <v>382</v>
      </c>
      <c r="G72" s="187">
        <f t="shared" si="3"/>
        <v>245000</v>
      </c>
      <c r="H72" s="462">
        <v>245000</v>
      </c>
      <c r="I72" s="462"/>
      <c r="J72" s="462"/>
      <c r="K72" s="431"/>
      <c r="L72" s="431"/>
      <c r="M72" s="431"/>
      <c r="N72" s="431"/>
      <c r="O72" s="431"/>
      <c r="P72" s="431"/>
      <c r="Q72" s="431"/>
    </row>
    <row r="73" spans="1:17" s="247" customFormat="1" ht="45" x14ac:dyDescent="0.25">
      <c r="A73" s="496" t="s">
        <v>347</v>
      </c>
      <c r="B73" s="90">
        <v>7520</v>
      </c>
      <c r="C73" s="91">
        <v>490</v>
      </c>
      <c r="D73" s="475" t="s">
        <v>342</v>
      </c>
      <c r="E73" s="474" t="s">
        <v>350</v>
      </c>
      <c r="F73" s="504" t="s">
        <v>382</v>
      </c>
      <c r="G73" s="187">
        <f t="shared" si="3"/>
        <v>10000</v>
      </c>
      <c r="H73" s="462">
        <v>10000</v>
      </c>
      <c r="I73" s="462"/>
      <c r="J73" s="462"/>
      <c r="K73" s="431"/>
      <c r="L73" s="431"/>
      <c r="M73" s="431"/>
      <c r="N73" s="431"/>
      <c r="O73" s="431"/>
      <c r="P73" s="431"/>
      <c r="Q73" s="431"/>
    </row>
    <row r="74" spans="1:17" s="247" customFormat="1" ht="60" x14ac:dyDescent="0.25">
      <c r="A74" s="508" t="s">
        <v>217</v>
      </c>
      <c r="B74" s="90">
        <v>7610</v>
      </c>
      <c r="C74" s="91">
        <v>411</v>
      </c>
      <c r="D74" s="475" t="s">
        <v>172</v>
      </c>
      <c r="E74" s="176" t="s">
        <v>327</v>
      </c>
      <c r="F74" s="502" t="s">
        <v>381</v>
      </c>
      <c r="G74" s="187">
        <f t="shared" si="3"/>
        <v>5000</v>
      </c>
      <c r="H74" s="6">
        <v>5000</v>
      </c>
      <c r="I74" s="6"/>
      <c r="J74" s="6"/>
      <c r="K74" s="431"/>
      <c r="L74" s="431"/>
      <c r="M74" s="431"/>
      <c r="N74" s="431"/>
      <c r="O74" s="431"/>
      <c r="P74" s="431"/>
      <c r="Q74" s="431"/>
    </row>
    <row r="75" spans="1:17" s="247" customFormat="1" ht="60" x14ac:dyDescent="0.25">
      <c r="A75" s="463">
        <v>2718340</v>
      </c>
      <c r="B75" s="448">
        <v>8340</v>
      </c>
      <c r="C75" s="449">
        <v>540</v>
      </c>
      <c r="D75" s="447" t="s">
        <v>171</v>
      </c>
      <c r="E75" s="474" t="s">
        <v>178</v>
      </c>
      <c r="F75" s="480" t="s">
        <v>277</v>
      </c>
      <c r="G75" s="187">
        <f t="shared" si="3"/>
        <v>80000</v>
      </c>
      <c r="H75" s="462"/>
      <c r="I75" s="462">
        <v>80000</v>
      </c>
      <c r="J75" s="462"/>
      <c r="K75" s="431"/>
      <c r="L75" s="431"/>
      <c r="M75" s="431"/>
      <c r="N75" s="431"/>
      <c r="O75" s="431"/>
      <c r="P75" s="431"/>
      <c r="Q75" s="431"/>
    </row>
    <row r="76" spans="1:17" s="247" customFormat="1" ht="57" customHeight="1" x14ac:dyDescent="0.25">
      <c r="A76" s="461">
        <v>2718410</v>
      </c>
      <c r="B76" s="464">
        <v>8410</v>
      </c>
      <c r="C76" s="449">
        <v>830</v>
      </c>
      <c r="D76" s="447" t="s">
        <v>90</v>
      </c>
      <c r="E76" s="501" t="s">
        <v>326</v>
      </c>
      <c r="F76" s="502" t="s">
        <v>407</v>
      </c>
      <c r="G76" s="187">
        <f t="shared" si="3"/>
        <v>200000</v>
      </c>
      <c r="H76" s="462">
        <v>200000</v>
      </c>
      <c r="I76" s="462"/>
      <c r="J76" s="462"/>
      <c r="K76" s="431"/>
      <c r="L76" s="431"/>
      <c r="M76" s="431"/>
      <c r="N76" s="431"/>
      <c r="O76" s="431"/>
      <c r="P76" s="431"/>
      <c r="Q76" s="431"/>
    </row>
    <row r="77" spans="1:17" s="247" customFormat="1" ht="15" x14ac:dyDescent="0.25">
      <c r="A77" s="180">
        <v>3700000</v>
      </c>
      <c r="B77" s="181"/>
      <c r="C77" s="181"/>
      <c r="D77" s="495" t="s">
        <v>80</v>
      </c>
      <c r="E77" s="498"/>
      <c r="F77" s="498"/>
      <c r="G77" s="183">
        <f t="shared" si="3"/>
        <v>25000</v>
      </c>
      <c r="H77" s="500">
        <f>H79</f>
        <v>25000</v>
      </c>
      <c r="I77" s="500"/>
      <c r="J77" s="500"/>
      <c r="K77" s="431"/>
      <c r="L77" s="431"/>
      <c r="M77" s="431"/>
      <c r="N77" s="431"/>
      <c r="O77" s="431"/>
      <c r="P77" s="431"/>
      <c r="Q77" s="431"/>
    </row>
    <row r="78" spans="1:17" s="247" customFormat="1" ht="15" x14ac:dyDescent="0.25">
      <c r="A78" s="180">
        <v>3710000</v>
      </c>
      <c r="B78" s="181"/>
      <c r="C78" s="181"/>
      <c r="D78" s="495" t="s">
        <v>80</v>
      </c>
      <c r="E78" s="498"/>
      <c r="F78" s="498"/>
      <c r="G78" s="183">
        <f t="shared" si="3"/>
        <v>25000</v>
      </c>
      <c r="H78" s="500">
        <f>H79</f>
        <v>25000</v>
      </c>
      <c r="I78" s="500"/>
      <c r="J78" s="500"/>
      <c r="K78" s="431"/>
      <c r="L78" s="431"/>
      <c r="M78" s="431"/>
      <c r="N78" s="431"/>
      <c r="O78" s="431"/>
      <c r="P78" s="431"/>
      <c r="Q78" s="431"/>
    </row>
    <row r="79" spans="1:17" s="247" customFormat="1" ht="45" x14ac:dyDescent="0.25">
      <c r="A79" s="496" t="s">
        <v>348</v>
      </c>
      <c r="B79" s="90">
        <v>7520</v>
      </c>
      <c r="C79" s="91">
        <v>490</v>
      </c>
      <c r="D79" s="475" t="s">
        <v>342</v>
      </c>
      <c r="E79" s="474" t="s">
        <v>350</v>
      </c>
      <c r="F79" s="504" t="s">
        <v>385</v>
      </c>
      <c r="G79" s="187">
        <f t="shared" si="3"/>
        <v>25000</v>
      </c>
      <c r="H79" s="462">
        <v>25000</v>
      </c>
      <c r="I79" s="462"/>
      <c r="J79" s="462"/>
      <c r="K79" s="431"/>
      <c r="L79" s="431"/>
      <c r="M79" s="431"/>
      <c r="N79" s="431"/>
      <c r="O79" s="431"/>
      <c r="P79" s="431"/>
      <c r="Q79" s="431"/>
    </row>
    <row r="80" spans="1:17" s="247" customFormat="1" ht="15" hidden="1" x14ac:dyDescent="0.25">
      <c r="A80" s="462"/>
      <c r="B80" s="462"/>
      <c r="C80" s="462"/>
      <c r="D80" s="462"/>
      <c r="E80" s="462"/>
      <c r="F80" s="462"/>
      <c r="G80" s="179"/>
      <c r="H80" s="462"/>
      <c r="I80" s="462"/>
      <c r="J80" s="462"/>
      <c r="K80" s="431"/>
      <c r="L80" s="431"/>
      <c r="M80" s="431"/>
      <c r="N80" s="431"/>
      <c r="O80" s="431"/>
      <c r="P80" s="431"/>
      <c r="Q80" s="431"/>
    </row>
    <row r="81" spans="1:17" s="247" customFormat="1" ht="15" hidden="1" x14ac:dyDescent="0.25">
      <c r="A81" s="462"/>
      <c r="B81" s="462"/>
      <c r="C81" s="462"/>
      <c r="D81" s="462"/>
      <c r="E81" s="462"/>
      <c r="F81" s="462"/>
      <c r="G81" s="179"/>
      <c r="H81" s="462"/>
      <c r="I81" s="462"/>
      <c r="J81" s="462"/>
      <c r="K81" s="431"/>
      <c r="L81" s="431"/>
      <c r="M81" s="431"/>
      <c r="N81" s="431"/>
      <c r="O81" s="431"/>
      <c r="P81" s="431"/>
      <c r="Q81" s="431"/>
    </row>
    <row r="82" spans="1:17" s="247" customFormat="1" ht="15" hidden="1" x14ac:dyDescent="0.25">
      <c r="A82" s="462"/>
      <c r="B82" s="462"/>
      <c r="C82" s="462"/>
      <c r="D82" s="462"/>
      <c r="E82" s="462"/>
      <c r="F82" s="462"/>
      <c r="G82" s="179"/>
      <c r="H82" s="462"/>
      <c r="I82" s="462"/>
      <c r="J82" s="462"/>
      <c r="K82" s="431"/>
      <c r="L82" s="431"/>
      <c r="M82" s="431"/>
      <c r="N82" s="431"/>
      <c r="O82" s="431"/>
      <c r="P82" s="431"/>
      <c r="Q82" s="431"/>
    </row>
    <row r="83" spans="1:17" s="247" customFormat="1" ht="15" hidden="1" x14ac:dyDescent="0.25">
      <c r="A83" s="462"/>
      <c r="B83" s="462"/>
      <c r="C83" s="462"/>
      <c r="D83" s="462"/>
      <c r="E83" s="462"/>
      <c r="F83" s="462"/>
      <c r="G83" s="179"/>
      <c r="H83" s="462"/>
      <c r="I83" s="462"/>
      <c r="J83" s="462"/>
      <c r="K83" s="431"/>
      <c r="L83" s="431"/>
      <c r="M83" s="431"/>
      <c r="N83" s="431"/>
      <c r="O83" s="431"/>
      <c r="P83" s="431"/>
      <c r="Q83" s="431"/>
    </row>
    <row r="84" spans="1:17" s="247" customFormat="1" ht="15" hidden="1" x14ac:dyDescent="0.25">
      <c r="A84" s="462"/>
      <c r="B84" s="462"/>
      <c r="C84" s="462"/>
      <c r="D84" s="462"/>
      <c r="E84" s="462"/>
      <c r="F84" s="462"/>
      <c r="G84" s="179"/>
      <c r="H84" s="462"/>
      <c r="I84" s="462"/>
      <c r="J84" s="462"/>
      <c r="K84" s="431"/>
      <c r="L84" s="431"/>
      <c r="M84" s="431"/>
      <c r="N84" s="431"/>
      <c r="O84" s="431"/>
      <c r="P84" s="431"/>
      <c r="Q84" s="431"/>
    </row>
    <row r="85" spans="1:17" s="247" customFormat="1" ht="15" hidden="1" x14ac:dyDescent="0.25">
      <c r="A85" s="462"/>
      <c r="B85" s="462"/>
      <c r="C85" s="462"/>
      <c r="D85" s="462"/>
      <c r="E85" s="462"/>
      <c r="F85" s="462"/>
      <c r="G85" s="179"/>
      <c r="H85" s="462"/>
      <c r="I85" s="462"/>
      <c r="J85" s="462"/>
      <c r="K85" s="431"/>
      <c r="L85" s="431"/>
      <c r="M85" s="431"/>
      <c r="N85" s="431"/>
      <c r="O85" s="431"/>
      <c r="P85" s="431"/>
      <c r="Q85" s="431"/>
    </row>
    <row r="86" spans="1:17" s="247" customFormat="1" ht="15" hidden="1" x14ac:dyDescent="0.25">
      <c r="A86" s="462"/>
      <c r="B86" s="462"/>
      <c r="C86" s="462"/>
      <c r="D86" s="462"/>
      <c r="E86" s="462"/>
      <c r="F86" s="462"/>
      <c r="G86" s="179"/>
      <c r="H86" s="462"/>
      <c r="I86" s="462"/>
      <c r="J86" s="462"/>
      <c r="K86" s="431"/>
      <c r="L86" s="431"/>
      <c r="M86" s="431"/>
      <c r="N86" s="431"/>
      <c r="O86" s="431"/>
      <c r="P86" s="431"/>
      <c r="Q86" s="431"/>
    </row>
    <row r="87" spans="1:17" s="247" customFormat="1" ht="15" hidden="1" x14ac:dyDescent="0.25">
      <c r="A87" s="462"/>
      <c r="B87" s="462"/>
      <c r="C87" s="462"/>
      <c r="D87" s="462"/>
      <c r="E87" s="462"/>
      <c r="F87" s="462"/>
      <c r="G87" s="179"/>
      <c r="H87" s="462"/>
      <c r="I87" s="462"/>
      <c r="J87" s="462"/>
      <c r="K87" s="431"/>
      <c r="L87" s="431"/>
      <c r="M87" s="431"/>
      <c r="N87" s="431"/>
      <c r="O87" s="431"/>
      <c r="P87" s="431"/>
      <c r="Q87" s="431"/>
    </row>
    <row r="88" spans="1:17" s="247" customFormat="1" ht="15" hidden="1" x14ac:dyDescent="0.25">
      <c r="A88" s="462"/>
      <c r="B88" s="462"/>
      <c r="C88" s="462"/>
      <c r="D88" s="462"/>
      <c r="E88" s="462"/>
      <c r="F88" s="462"/>
      <c r="G88" s="179"/>
      <c r="H88" s="462"/>
      <c r="I88" s="462"/>
      <c r="J88" s="462"/>
      <c r="K88" s="431"/>
      <c r="L88" s="431"/>
      <c r="M88" s="431"/>
      <c r="N88" s="431"/>
      <c r="O88" s="431"/>
      <c r="P88" s="431"/>
      <c r="Q88" s="431"/>
    </row>
    <row r="89" spans="1:17" s="247" customFormat="1" ht="15" hidden="1" x14ac:dyDescent="0.25">
      <c r="A89" s="462"/>
      <c r="B89" s="462"/>
      <c r="C89" s="462"/>
      <c r="D89" s="462"/>
      <c r="E89" s="462"/>
      <c r="F89" s="462"/>
      <c r="G89" s="179"/>
      <c r="H89" s="462"/>
      <c r="I89" s="462"/>
      <c r="J89" s="462"/>
      <c r="K89" s="431"/>
      <c r="L89" s="431"/>
      <c r="M89" s="431"/>
      <c r="N89" s="431"/>
      <c r="O89" s="431"/>
      <c r="P89" s="431"/>
      <c r="Q89" s="431"/>
    </row>
    <row r="90" spans="1:17" s="247" customFormat="1" ht="15" hidden="1" x14ac:dyDescent="0.25">
      <c r="A90" s="462"/>
      <c r="B90" s="462"/>
      <c r="C90" s="462"/>
      <c r="D90" s="462"/>
      <c r="E90" s="462"/>
      <c r="F90" s="462"/>
      <c r="G90" s="179"/>
      <c r="H90" s="462"/>
      <c r="I90" s="462"/>
      <c r="J90" s="462"/>
      <c r="K90" s="431"/>
      <c r="L90" s="431"/>
      <c r="M90" s="431"/>
      <c r="N90" s="431"/>
      <c r="O90" s="431"/>
      <c r="P90" s="431"/>
      <c r="Q90" s="431"/>
    </row>
    <row r="91" spans="1:17" s="247" customFormat="1" ht="15" hidden="1" x14ac:dyDescent="0.25">
      <c r="A91" s="462"/>
      <c r="B91" s="462"/>
      <c r="C91" s="462"/>
      <c r="D91" s="462"/>
      <c r="E91" s="462"/>
      <c r="F91" s="462"/>
      <c r="G91" s="179"/>
      <c r="H91" s="462"/>
      <c r="I91" s="462"/>
      <c r="J91" s="462"/>
      <c r="K91" s="431"/>
      <c r="L91" s="431"/>
      <c r="M91" s="431"/>
      <c r="N91" s="431"/>
      <c r="O91" s="431"/>
      <c r="P91" s="431"/>
      <c r="Q91" s="431"/>
    </row>
    <row r="92" spans="1:17" s="247" customFormat="1" ht="15" hidden="1" x14ac:dyDescent="0.25">
      <c r="A92" s="462"/>
      <c r="B92" s="462"/>
      <c r="C92" s="462"/>
      <c r="D92" s="462"/>
      <c r="E92" s="462"/>
      <c r="F92" s="462"/>
      <c r="G92" s="179"/>
      <c r="H92" s="462"/>
      <c r="I92" s="462"/>
      <c r="J92" s="462"/>
      <c r="K92" s="431"/>
      <c r="L92" s="431"/>
      <c r="M92" s="431"/>
      <c r="N92" s="431"/>
      <c r="O92" s="431"/>
      <c r="P92" s="431"/>
      <c r="Q92" s="431"/>
    </row>
    <row r="93" spans="1:17" s="247" customFormat="1" ht="15" hidden="1" x14ac:dyDescent="0.25">
      <c r="A93" s="462"/>
      <c r="B93" s="462"/>
      <c r="C93" s="462"/>
      <c r="D93" s="462"/>
      <c r="E93" s="462"/>
      <c r="F93" s="462"/>
      <c r="G93" s="179"/>
      <c r="H93" s="462"/>
      <c r="I93" s="462"/>
      <c r="J93" s="462"/>
      <c r="K93" s="431"/>
      <c r="L93" s="431"/>
      <c r="M93" s="431"/>
      <c r="N93" s="431"/>
      <c r="O93" s="431"/>
      <c r="P93" s="431"/>
      <c r="Q93" s="431"/>
    </row>
    <row r="94" spans="1:17" s="247" customFormat="1" ht="15" hidden="1" x14ac:dyDescent="0.25">
      <c r="A94" s="462"/>
      <c r="B94" s="462"/>
      <c r="C94" s="462"/>
      <c r="D94" s="462"/>
      <c r="E94" s="462"/>
      <c r="F94" s="462"/>
      <c r="G94" s="179"/>
      <c r="H94" s="462"/>
      <c r="I94" s="462"/>
      <c r="J94" s="462"/>
      <c r="K94" s="431"/>
      <c r="L94" s="431"/>
      <c r="M94" s="431"/>
      <c r="N94" s="431"/>
      <c r="O94" s="431"/>
      <c r="P94" s="431"/>
      <c r="Q94" s="431"/>
    </row>
    <row r="95" spans="1:17" s="247" customFormat="1" ht="17.25" hidden="1" customHeight="1" x14ac:dyDescent="0.25">
      <c r="A95" s="462"/>
      <c r="B95" s="462"/>
      <c r="C95" s="462"/>
      <c r="D95" s="462"/>
      <c r="E95" s="462"/>
      <c r="F95" s="465"/>
      <c r="G95" s="179"/>
      <c r="H95" s="466"/>
      <c r="I95" s="466"/>
      <c r="J95" s="466"/>
      <c r="K95" s="431"/>
      <c r="L95" s="431"/>
      <c r="M95" s="431"/>
      <c r="N95" s="431"/>
      <c r="O95" s="431"/>
      <c r="P95" s="431"/>
      <c r="Q95" s="431"/>
    </row>
    <row r="96" spans="1:17" s="254" customFormat="1" ht="32.450000000000003" customHeight="1" x14ac:dyDescent="0.2">
      <c r="A96" s="15" t="s">
        <v>159</v>
      </c>
      <c r="B96" s="15" t="s">
        <v>159</v>
      </c>
      <c r="C96" s="15" t="s">
        <v>159</v>
      </c>
      <c r="D96" s="15" t="s">
        <v>281</v>
      </c>
      <c r="E96" s="15" t="s">
        <v>159</v>
      </c>
      <c r="F96" s="15" t="s">
        <v>159</v>
      </c>
      <c r="G96" s="253">
        <f>G9+G34+G40+G48+G54+G63+G77</f>
        <v>13019000</v>
      </c>
      <c r="H96" s="253">
        <f>H9+H34+H40+H48+H54+H63+H77</f>
        <v>12264000</v>
      </c>
      <c r="I96" s="253">
        <f>I9+I34+I40+I48+I54+I63+I77</f>
        <v>755000</v>
      </c>
      <c r="J96" s="253">
        <f>J9+J34+J40+J48+J54+J63+J77</f>
        <v>500000</v>
      </c>
      <c r="K96" s="438"/>
      <c r="L96" s="438"/>
      <c r="M96" s="438"/>
      <c r="N96" s="438"/>
      <c r="O96" s="438"/>
      <c r="P96" s="438"/>
      <c r="Q96" s="438"/>
    </row>
    <row r="97" spans="1:17" s="247" customFormat="1" ht="6" customHeight="1" x14ac:dyDescent="0.25">
      <c r="A97" s="255"/>
      <c r="B97" s="255"/>
      <c r="C97" s="255"/>
      <c r="D97" s="255"/>
      <c r="E97" s="259"/>
      <c r="F97" s="249"/>
      <c r="G97" s="249"/>
      <c r="H97" s="249"/>
      <c r="I97" s="249"/>
      <c r="J97" s="249"/>
      <c r="K97" s="431"/>
      <c r="L97" s="431"/>
      <c r="M97" s="431"/>
      <c r="N97" s="431"/>
      <c r="O97" s="431"/>
      <c r="P97" s="431"/>
      <c r="Q97" s="431"/>
    </row>
    <row r="98" spans="1:17" s="247" customFormat="1" ht="2.25" customHeight="1" x14ac:dyDescent="0.25">
      <c r="A98" s="256"/>
      <c r="B98" s="256"/>
      <c r="C98" s="256"/>
      <c r="D98" s="256"/>
      <c r="E98" s="259"/>
      <c r="F98" s="249"/>
      <c r="G98" s="249"/>
      <c r="H98" s="249"/>
      <c r="I98" s="249"/>
      <c r="J98" s="249"/>
      <c r="K98" s="431"/>
      <c r="L98" s="431"/>
      <c r="M98" s="431"/>
      <c r="N98" s="431"/>
      <c r="O98" s="431"/>
      <c r="P98" s="431"/>
      <c r="Q98" s="431"/>
    </row>
    <row r="99" spans="1:17" s="247" customFormat="1" ht="21" customHeight="1" x14ac:dyDescent="0.25">
      <c r="A99" s="256"/>
      <c r="B99" s="256"/>
      <c r="C99" s="590" t="s">
        <v>386</v>
      </c>
      <c r="D99" s="590"/>
      <c r="E99" s="590"/>
      <c r="F99" s="590"/>
      <c r="G99" s="590"/>
      <c r="H99" s="590"/>
      <c r="I99" s="590"/>
      <c r="J99" s="249"/>
      <c r="K99" s="431"/>
      <c r="L99" s="431"/>
      <c r="M99" s="431"/>
      <c r="N99" s="431"/>
      <c r="O99" s="431"/>
      <c r="P99" s="431"/>
      <c r="Q99" s="431"/>
    </row>
    <row r="100" spans="1:17" s="247" customFormat="1" ht="15" hidden="1" x14ac:dyDescent="0.25">
      <c r="A100" s="249"/>
      <c r="B100" s="249"/>
      <c r="C100" s="249"/>
      <c r="D100" s="249"/>
      <c r="E100" s="259"/>
      <c r="F100" s="249"/>
      <c r="G100" s="249"/>
      <c r="H100" s="249"/>
      <c r="I100" s="249"/>
      <c r="J100" s="249"/>
      <c r="K100" s="431"/>
      <c r="L100" s="431"/>
      <c r="M100" s="431"/>
      <c r="N100" s="431"/>
      <c r="O100" s="431"/>
      <c r="P100" s="431"/>
      <c r="Q100" s="431"/>
    </row>
    <row r="101" spans="1:17" s="247" customFormat="1" ht="15" x14ac:dyDescent="0.25">
      <c r="A101" s="249"/>
      <c r="B101" s="249"/>
      <c r="C101" s="249"/>
      <c r="D101" s="249"/>
      <c r="E101" s="259"/>
      <c r="F101" s="249"/>
      <c r="G101" s="249"/>
      <c r="H101" s="249"/>
      <c r="I101" s="249"/>
      <c r="J101" s="249"/>
      <c r="K101" s="431"/>
      <c r="L101" s="431"/>
      <c r="M101" s="431"/>
      <c r="N101" s="431"/>
      <c r="O101" s="431"/>
      <c r="P101" s="431"/>
      <c r="Q101" s="431"/>
    </row>
    <row r="102" spans="1:17" s="247" customFormat="1" ht="15" x14ac:dyDescent="0.25">
      <c r="A102" s="249"/>
      <c r="B102" s="249"/>
      <c r="C102" s="249"/>
      <c r="D102" s="249"/>
      <c r="E102" s="259"/>
      <c r="F102" s="249"/>
      <c r="G102" s="249"/>
      <c r="H102" s="249"/>
      <c r="I102" s="249"/>
      <c r="J102" s="249"/>
      <c r="K102" s="431"/>
      <c r="L102" s="431"/>
      <c r="M102" s="431"/>
      <c r="N102" s="431"/>
      <c r="O102" s="431"/>
      <c r="P102" s="431"/>
      <c r="Q102" s="431"/>
    </row>
    <row r="103" spans="1:17" s="247" customFormat="1" ht="15" x14ac:dyDescent="0.25">
      <c r="A103" s="249"/>
      <c r="B103" s="249"/>
      <c r="C103" s="249"/>
      <c r="D103" s="249"/>
      <c r="E103" s="259"/>
      <c r="F103" s="249"/>
      <c r="G103" s="249"/>
      <c r="H103" s="249"/>
      <c r="I103" s="249"/>
      <c r="J103" s="249"/>
      <c r="K103" s="431"/>
      <c r="L103" s="431"/>
      <c r="M103" s="431"/>
      <c r="N103" s="431"/>
      <c r="O103" s="431"/>
      <c r="P103" s="431"/>
      <c r="Q103" s="431"/>
    </row>
    <row r="104" spans="1:17" s="247" customFormat="1" ht="15" x14ac:dyDescent="0.25">
      <c r="A104" s="249"/>
      <c r="B104" s="249"/>
      <c r="C104" s="249"/>
      <c r="D104" s="249"/>
      <c r="E104" s="259"/>
      <c r="F104" s="249"/>
      <c r="G104" s="249"/>
      <c r="H104" s="249"/>
      <c r="I104" s="249"/>
      <c r="J104" s="249"/>
      <c r="K104" s="431"/>
      <c r="L104" s="431"/>
      <c r="M104" s="431"/>
      <c r="N104" s="431"/>
      <c r="O104" s="431"/>
      <c r="P104" s="431"/>
      <c r="Q104" s="431"/>
    </row>
    <row r="105" spans="1:17" s="247" customFormat="1" ht="15" x14ac:dyDescent="0.25">
      <c r="A105" s="249"/>
      <c r="B105" s="249"/>
      <c r="C105" s="249"/>
      <c r="D105" s="249"/>
      <c r="E105" s="259"/>
      <c r="F105" s="249"/>
      <c r="G105" s="249"/>
      <c r="H105" s="249"/>
      <c r="I105" s="249"/>
      <c r="J105" s="249"/>
      <c r="K105" s="431"/>
      <c r="L105" s="431"/>
      <c r="M105" s="431"/>
      <c r="N105" s="431"/>
      <c r="O105" s="431"/>
      <c r="P105" s="431"/>
      <c r="Q105" s="431"/>
    </row>
    <row r="106" spans="1:17" s="247" customFormat="1" ht="15" x14ac:dyDescent="0.25">
      <c r="A106" s="249"/>
      <c r="B106" s="249"/>
      <c r="C106" s="249"/>
      <c r="D106" s="249"/>
      <c r="E106" s="259"/>
      <c r="F106" s="249"/>
      <c r="G106" s="249"/>
      <c r="H106" s="249"/>
      <c r="I106" s="249"/>
      <c r="J106" s="249"/>
      <c r="K106" s="431"/>
      <c r="L106" s="431"/>
      <c r="M106" s="431"/>
      <c r="N106" s="431"/>
      <c r="O106" s="431"/>
      <c r="P106" s="431"/>
      <c r="Q106" s="431"/>
    </row>
    <row r="107" spans="1:17" s="247" customFormat="1" ht="15" x14ac:dyDescent="0.25">
      <c r="A107" s="249"/>
      <c r="B107" s="249"/>
      <c r="C107" s="249"/>
      <c r="D107" s="249"/>
      <c r="E107" s="259"/>
      <c r="F107" s="249"/>
      <c r="G107" s="249"/>
      <c r="H107" s="249"/>
      <c r="I107" s="249"/>
      <c r="J107" s="249"/>
      <c r="K107" s="431"/>
      <c r="L107" s="431"/>
      <c r="M107" s="431"/>
      <c r="N107" s="431"/>
      <c r="O107" s="431"/>
      <c r="P107" s="431"/>
      <c r="Q107" s="431"/>
    </row>
    <row r="108" spans="1:17" s="247" customFormat="1" ht="15" x14ac:dyDescent="0.25">
      <c r="A108" s="249"/>
      <c r="B108" s="249"/>
      <c r="C108" s="249"/>
      <c r="D108" s="249"/>
      <c r="E108" s="259"/>
      <c r="F108" s="249"/>
      <c r="G108" s="249"/>
      <c r="H108" s="249"/>
      <c r="I108" s="249"/>
      <c r="J108" s="249"/>
      <c r="K108" s="431"/>
      <c r="L108" s="431"/>
      <c r="M108" s="431"/>
      <c r="N108" s="431"/>
      <c r="O108" s="431"/>
      <c r="P108" s="431"/>
      <c r="Q108" s="431"/>
    </row>
    <row r="109" spans="1:17" s="247" customFormat="1" ht="15" x14ac:dyDescent="0.25">
      <c r="A109" s="249"/>
      <c r="B109" s="249"/>
      <c r="C109" s="249"/>
      <c r="D109" s="249"/>
      <c r="E109" s="259"/>
      <c r="F109" s="249"/>
      <c r="G109" s="249"/>
      <c r="H109" s="249"/>
      <c r="I109" s="249"/>
      <c r="J109" s="249"/>
      <c r="K109" s="431"/>
      <c r="L109" s="431"/>
      <c r="M109" s="431"/>
      <c r="N109" s="431"/>
      <c r="O109" s="431"/>
      <c r="P109" s="431"/>
      <c r="Q109" s="431"/>
    </row>
    <row r="110" spans="1:17" s="247" customFormat="1" ht="15" x14ac:dyDescent="0.25">
      <c r="A110" s="249"/>
      <c r="B110" s="249"/>
      <c r="C110" s="249"/>
      <c r="D110" s="249"/>
      <c r="E110" s="259"/>
      <c r="F110" s="249"/>
      <c r="G110" s="249"/>
      <c r="H110" s="249"/>
      <c r="I110" s="249"/>
      <c r="J110" s="249"/>
      <c r="K110" s="431"/>
      <c r="L110" s="431"/>
      <c r="M110" s="431"/>
      <c r="N110" s="431"/>
      <c r="O110" s="431"/>
      <c r="P110" s="431"/>
      <c r="Q110" s="431"/>
    </row>
    <row r="111" spans="1:17" s="247" customFormat="1" ht="15" x14ac:dyDescent="0.25">
      <c r="A111" s="249"/>
      <c r="B111" s="249"/>
      <c r="C111" s="249"/>
      <c r="D111" s="249"/>
      <c r="E111" s="259"/>
      <c r="F111" s="249"/>
      <c r="G111" s="249"/>
      <c r="H111" s="249"/>
      <c r="I111" s="249"/>
      <c r="J111" s="249"/>
      <c r="K111" s="431"/>
      <c r="L111" s="431"/>
      <c r="M111" s="431"/>
      <c r="N111" s="431"/>
      <c r="O111" s="431"/>
      <c r="P111" s="431"/>
      <c r="Q111" s="431"/>
    </row>
    <row r="112" spans="1:17" s="247" customFormat="1" ht="15" x14ac:dyDescent="0.25">
      <c r="A112" s="249"/>
      <c r="B112" s="249"/>
      <c r="C112" s="249"/>
      <c r="D112" s="249"/>
      <c r="E112" s="259"/>
      <c r="F112" s="249"/>
      <c r="G112" s="249"/>
      <c r="H112" s="249"/>
      <c r="I112" s="249"/>
      <c r="J112" s="249"/>
      <c r="K112" s="431"/>
      <c r="L112" s="431"/>
      <c r="M112" s="431"/>
      <c r="N112" s="431"/>
      <c r="O112" s="431"/>
      <c r="P112" s="431"/>
      <c r="Q112" s="431"/>
    </row>
    <row r="113" spans="1:17" s="247" customFormat="1" ht="15" x14ac:dyDescent="0.25">
      <c r="A113" s="249"/>
      <c r="B113" s="249"/>
      <c r="C113" s="249"/>
      <c r="D113" s="249"/>
      <c r="E113" s="259"/>
      <c r="F113" s="249"/>
      <c r="G113" s="249"/>
      <c r="H113" s="249"/>
      <c r="I113" s="249"/>
      <c r="J113" s="249"/>
      <c r="K113" s="431"/>
      <c r="L113" s="431"/>
      <c r="M113" s="431"/>
      <c r="N113" s="431"/>
      <c r="O113" s="431"/>
      <c r="P113" s="431"/>
      <c r="Q113" s="431"/>
    </row>
    <row r="114" spans="1:17" s="247" customFormat="1" ht="15" x14ac:dyDescent="0.25">
      <c r="A114" s="249"/>
      <c r="B114" s="249"/>
      <c r="C114" s="249"/>
      <c r="D114" s="249"/>
      <c r="E114" s="259"/>
      <c r="F114" s="249"/>
      <c r="G114" s="249"/>
      <c r="H114" s="249"/>
      <c r="I114" s="249"/>
      <c r="J114" s="249"/>
      <c r="K114" s="431"/>
      <c r="L114" s="431"/>
      <c r="M114" s="431"/>
      <c r="N114" s="431"/>
      <c r="O114" s="431"/>
      <c r="P114" s="431"/>
      <c r="Q114" s="431"/>
    </row>
    <row r="115" spans="1:17" s="247" customFormat="1" ht="15" x14ac:dyDescent="0.25">
      <c r="A115" s="249"/>
      <c r="B115" s="249"/>
      <c r="C115" s="249"/>
      <c r="D115" s="249"/>
      <c r="E115" s="259"/>
      <c r="F115" s="249"/>
      <c r="G115" s="249"/>
      <c r="H115" s="249"/>
      <c r="I115" s="249"/>
      <c r="J115" s="249"/>
      <c r="K115" s="431"/>
      <c r="L115" s="431"/>
      <c r="M115" s="431"/>
      <c r="N115" s="431"/>
      <c r="O115" s="431"/>
      <c r="P115" s="431"/>
      <c r="Q115" s="431"/>
    </row>
    <row r="116" spans="1:17" s="247" customFormat="1" ht="15" x14ac:dyDescent="0.25">
      <c r="A116" s="249"/>
      <c r="B116" s="249"/>
      <c r="C116" s="249"/>
      <c r="D116" s="249"/>
      <c r="E116" s="259"/>
      <c r="F116" s="249"/>
      <c r="G116" s="249"/>
      <c r="H116" s="249"/>
      <c r="I116" s="249"/>
      <c r="J116" s="249"/>
      <c r="K116" s="431"/>
      <c r="L116" s="431"/>
      <c r="M116" s="431"/>
      <c r="N116" s="431"/>
      <c r="O116" s="431"/>
      <c r="P116" s="431"/>
      <c r="Q116" s="431"/>
    </row>
    <row r="117" spans="1:17" s="247" customFormat="1" ht="15" x14ac:dyDescent="0.25">
      <c r="A117" s="249"/>
      <c r="B117" s="249"/>
      <c r="C117" s="249"/>
      <c r="D117" s="249"/>
      <c r="E117" s="259"/>
      <c r="F117" s="249"/>
      <c r="G117" s="249"/>
      <c r="H117" s="249"/>
      <c r="I117" s="249"/>
      <c r="J117" s="249"/>
      <c r="K117" s="431"/>
      <c r="L117" s="431"/>
      <c r="M117" s="431"/>
      <c r="N117" s="431"/>
      <c r="O117" s="431"/>
      <c r="P117" s="431"/>
      <c r="Q117" s="431"/>
    </row>
    <row r="118" spans="1:17" s="247" customFormat="1" ht="15" x14ac:dyDescent="0.25">
      <c r="A118" s="249"/>
      <c r="B118" s="249"/>
      <c r="C118" s="249"/>
      <c r="D118" s="249"/>
      <c r="E118" s="259"/>
      <c r="F118" s="249"/>
      <c r="G118" s="249"/>
      <c r="H118" s="249"/>
      <c r="I118" s="249"/>
      <c r="J118" s="249"/>
      <c r="K118" s="431"/>
      <c r="L118" s="431"/>
      <c r="M118" s="431"/>
      <c r="N118" s="431"/>
      <c r="O118" s="431"/>
      <c r="P118" s="431"/>
      <c r="Q118" s="431"/>
    </row>
    <row r="119" spans="1:17" s="247" customFormat="1" ht="15" x14ac:dyDescent="0.25">
      <c r="A119" s="249"/>
      <c r="B119" s="249"/>
      <c r="C119" s="249"/>
      <c r="D119" s="249"/>
      <c r="E119" s="259"/>
      <c r="F119" s="249"/>
      <c r="G119" s="249"/>
      <c r="H119" s="249"/>
      <c r="I119" s="249"/>
      <c r="J119" s="249"/>
      <c r="K119" s="431"/>
      <c r="L119" s="431"/>
      <c r="M119" s="431"/>
      <c r="N119" s="431"/>
      <c r="O119" s="431"/>
      <c r="P119" s="431"/>
      <c r="Q119" s="431"/>
    </row>
    <row r="120" spans="1:17" s="247" customFormat="1" ht="15" x14ac:dyDescent="0.25">
      <c r="A120" s="249"/>
      <c r="B120" s="249"/>
      <c r="C120" s="249"/>
      <c r="D120" s="249"/>
      <c r="E120" s="259"/>
      <c r="F120" s="249"/>
      <c r="G120" s="249"/>
      <c r="H120" s="249"/>
      <c r="I120" s="249"/>
      <c r="J120" s="249"/>
      <c r="K120" s="431"/>
      <c r="L120" s="431"/>
      <c r="M120" s="431"/>
      <c r="N120" s="431"/>
      <c r="O120" s="431"/>
      <c r="P120" s="431"/>
      <c r="Q120" s="431"/>
    </row>
    <row r="121" spans="1:17" s="247" customFormat="1" ht="15" x14ac:dyDescent="0.25">
      <c r="A121" s="249"/>
      <c r="B121" s="249"/>
      <c r="C121" s="249"/>
      <c r="D121" s="249"/>
      <c r="E121" s="259"/>
      <c r="F121" s="249"/>
      <c r="G121" s="249"/>
      <c r="H121" s="249"/>
      <c r="I121" s="249"/>
      <c r="J121" s="249"/>
      <c r="K121" s="431"/>
      <c r="L121" s="431"/>
      <c r="M121" s="431"/>
      <c r="N121" s="431"/>
      <c r="O121" s="431"/>
      <c r="P121" s="431"/>
      <c r="Q121" s="431"/>
    </row>
    <row r="122" spans="1:17" s="247" customFormat="1" ht="15" x14ac:dyDescent="0.25">
      <c r="A122" s="249"/>
      <c r="B122" s="249"/>
      <c r="C122" s="249"/>
      <c r="D122" s="249"/>
      <c r="E122" s="259"/>
      <c r="F122" s="249"/>
      <c r="G122" s="249"/>
      <c r="H122" s="249"/>
      <c r="I122" s="249"/>
      <c r="J122" s="249"/>
      <c r="K122" s="431"/>
      <c r="L122" s="431"/>
      <c r="M122" s="431"/>
      <c r="N122" s="431"/>
      <c r="O122" s="431"/>
      <c r="P122" s="431"/>
      <c r="Q122" s="431"/>
    </row>
    <row r="123" spans="1:17" s="247" customFormat="1" ht="15" x14ac:dyDescent="0.25">
      <c r="A123" s="249"/>
      <c r="B123" s="249"/>
      <c r="C123" s="249"/>
      <c r="D123" s="249"/>
      <c r="E123" s="259"/>
      <c r="F123" s="249"/>
      <c r="G123" s="249"/>
      <c r="H123" s="249"/>
      <c r="I123" s="249"/>
      <c r="J123" s="249"/>
      <c r="K123" s="431"/>
      <c r="L123" s="431"/>
      <c r="M123" s="431"/>
      <c r="N123" s="431"/>
      <c r="O123" s="431"/>
      <c r="P123" s="431"/>
      <c r="Q123" s="431"/>
    </row>
    <row r="124" spans="1:17" s="247" customFormat="1" ht="15" x14ac:dyDescent="0.25">
      <c r="A124" s="249"/>
      <c r="B124" s="249"/>
      <c r="C124" s="249"/>
      <c r="D124" s="249"/>
      <c r="E124" s="259"/>
      <c r="F124" s="249"/>
      <c r="G124" s="249"/>
      <c r="H124" s="249"/>
      <c r="I124" s="249"/>
      <c r="J124" s="249"/>
      <c r="K124" s="431"/>
      <c r="L124" s="431"/>
      <c r="M124" s="431"/>
      <c r="N124" s="431"/>
      <c r="O124" s="431"/>
      <c r="P124" s="431"/>
      <c r="Q124" s="431"/>
    </row>
    <row r="125" spans="1:17" s="247" customFormat="1" ht="15" x14ac:dyDescent="0.25">
      <c r="A125" s="249"/>
      <c r="B125" s="249"/>
      <c r="C125" s="249"/>
      <c r="D125" s="249"/>
      <c r="E125" s="259"/>
      <c r="F125" s="249"/>
      <c r="G125" s="249"/>
      <c r="H125" s="249"/>
      <c r="I125" s="249"/>
      <c r="J125" s="249"/>
      <c r="K125" s="431"/>
      <c r="L125" s="431"/>
      <c r="M125" s="431"/>
      <c r="N125" s="431"/>
      <c r="O125" s="431"/>
      <c r="P125" s="431"/>
      <c r="Q125" s="431"/>
    </row>
    <row r="126" spans="1:17" s="247" customFormat="1" ht="15" x14ac:dyDescent="0.25">
      <c r="A126" s="249"/>
      <c r="B126" s="249"/>
      <c r="C126" s="249"/>
      <c r="D126" s="249"/>
      <c r="E126" s="259"/>
      <c r="F126" s="249"/>
      <c r="G126" s="249"/>
      <c r="H126" s="249"/>
      <c r="I126" s="249"/>
      <c r="J126" s="249"/>
      <c r="K126" s="431"/>
      <c r="L126" s="431"/>
      <c r="M126" s="431"/>
      <c r="N126" s="431"/>
      <c r="O126" s="431"/>
      <c r="P126" s="431"/>
      <c r="Q126" s="431"/>
    </row>
    <row r="127" spans="1:17" s="247" customFormat="1" ht="15" x14ac:dyDescent="0.25">
      <c r="A127" s="249"/>
      <c r="B127" s="249"/>
      <c r="C127" s="249"/>
      <c r="D127" s="249"/>
      <c r="E127" s="259"/>
      <c r="F127" s="249"/>
      <c r="G127" s="249"/>
      <c r="H127" s="249"/>
      <c r="I127" s="249"/>
      <c r="J127" s="249"/>
      <c r="K127" s="431"/>
      <c r="L127" s="431"/>
      <c r="M127" s="431"/>
      <c r="N127" s="431"/>
      <c r="O127" s="431"/>
      <c r="P127" s="431"/>
      <c r="Q127" s="431"/>
    </row>
    <row r="128" spans="1:17" s="247" customFormat="1" ht="15" x14ac:dyDescent="0.25">
      <c r="A128" s="249"/>
      <c r="B128" s="249"/>
      <c r="C128" s="249"/>
      <c r="D128" s="249"/>
      <c r="E128" s="259"/>
      <c r="F128" s="249"/>
      <c r="G128" s="249"/>
      <c r="H128" s="249"/>
      <c r="I128" s="249"/>
      <c r="J128" s="249"/>
      <c r="K128" s="431"/>
      <c r="L128" s="431"/>
      <c r="M128" s="431"/>
      <c r="N128" s="431"/>
      <c r="O128" s="431"/>
      <c r="P128" s="431"/>
      <c r="Q128" s="431"/>
    </row>
    <row r="129" spans="1:17" s="247" customFormat="1" ht="15" x14ac:dyDescent="0.25">
      <c r="A129" s="249"/>
      <c r="B129" s="249"/>
      <c r="C129" s="249"/>
      <c r="D129" s="249"/>
      <c r="E129" s="259"/>
      <c r="F129" s="249"/>
      <c r="G129" s="249"/>
      <c r="H129" s="249"/>
      <c r="I129" s="249"/>
      <c r="J129" s="249"/>
      <c r="K129" s="431"/>
      <c r="L129" s="431"/>
      <c r="M129" s="431"/>
      <c r="N129" s="431"/>
      <c r="O129" s="431"/>
      <c r="P129" s="431"/>
      <c r="Q129" s="431"/>
    </row>
    <row r="130" spans="1:17" s="247" customFormat="1" ht="15" x14ac:dyDescent="0.25">
      <c r="A130" s="249"/>
      <c r="B130" s="249"/>
      <c r="C130" s="249"/>
      <c r="D130" s="249"/>
      <c r="E130" s="259"/>
      <c r="F130" s="249"/>
      <c r="G130" s="249"/>
      <c r="H130" s="249"/>
      <c r="I130" s="249"/>
      <c r="J130" s="249"/>
      <c r="K130" s="431"/>
      <c r="L130" s="431"/>
      <c r="M130" s="431"/>
      <c r="N130" s="431"/>
      <c r="O130" s="431"/>
      <c r="P130" s="431"/>
      <c r="Q130" s="431"/>
    </row>
    <row r="131" spans="1:17" s="247" customFormat="1" ht="15" x14ac:dyDescent="0.25">
      <c r="A131" s="249"/>
      <c r="B131" s="249"/>
      <c r="C131" s="249"/>
      <c r="D131" s="249"/>
      <c r="E131" s="259"/>
      <c r="F131" s="249"/>
      <c r="G131" s="249"/>
      <c r="H131" s="249"/>
      <c r="I131" s="249"/>
      <c r="J131" s="249"/>
      <c r="K131" s="431"/>
      <c r="L131" s="431"/>
      <c r="M131" s="431"/>
      <c r="N131" s="431"/>
      <c r="O131" s="431"/>
      <c r="P131" s="431"/>
      <c r="Q131" s="431"/>
    </row>
    <row r="132" spans="1:17" s="247" customFormat="1" ht="15" x14ac:dyDescent="0.25">
      <c r="A132" s="249"/>
      <c r="B132" s="249"/>
      <c r="C132" s="249"/>
      <c r="D132" s="249"/>
      <c r="E132" s="259"/>
      <c r="F132" s="249"/>
      <c r="G132" s="249"/>
      <c r="H132" s="249"/>
      <c r="I132" s="249"/>
      <c r="J132" s="249"/>
      <c r="K132" s="431"/>
      <c r="L132" s="431"/>
      <c r="M132" s="431"/>
      <c r="N132" s="431"/>
      <c r="O132" s="431"/>
      <c r="P132" s="431"/>
      <c r="Q132" s="431"/>
    </row>
    <row r="133" spans="1:17" s="247" customFormat="1" ht="15" x14ac:dyDescent="0.25">
      <c r="A133" s="249"/>
      <c r="B133" s="249"/>
      <c r="C133" s="249"/>
      <c r="D133" s="249"/>
      <c r="E133" s="259"/>
      <c r="F133" s="249"/>
      <c r="G133" s="249"/>
      <c r="H133" s="249"/>
      <c r="I133" s="249"/>
      <c r="J133" s="249"/>
      <c r="K133" s="431"/>
      <c r="L133" s="431"/>
      <c r="M133" s="431"/>
      <c r="N133" s="431"/>
      <c r="O133" s="431"/>
      <c r="P133" s="431"/>
      <c r="Q133" s="431"/>
    </row>
    <row r="134" spans="1:17" s="247" customFormat="1" ht="15" x14ac:dyDescent="0.25">
      <c r="A134" s="249"/>
      <c r="B134" s="249"/>
      <c r="C134" s="249"/>
      <c r="D134" s="249"/>
      <c r="E134" s="259"/>
      <c r="F134" s="249"/>
      <c r="G134" s="249"/>
      <c r="H134" s="249"/>
      <c r="I134" s="249"/>
      <c r="J134" s="249"/>
      <c r="K134" s="431"/>
      <c r="L134" s="431"/>
      <c r="M134" s="431"/>
      <c r="N134" s="431"/>
      <c r="O134" s="431"/>
      <c r="P134" s="431"/>
      <c r="Q134" s="431"/>
    </row>
    <row r="135" spans="1:17" s="247" customFormat="1" ht="15" x14ac:dyDescent="0.25">
      <c r="A135" s="249"/>
      <c r="B135" s="249"/>
      <c r="C135" s="249"/>
      <c r="D135" s="249"/>
      <c r="E135" s="259"/>
      <c r="F135" s="249"/>
      <c r="G135" s="249"/>
      <c r="H135" s="249"/>
      <c r="I135" s="249"/>
      <c r="J135" s="249"/>
      <c r="K135" s="431"/>
      <c r="L135" s="431"/>
      <c r="M135" s="431"/>
      <c r="N135" s="431"/>
      <c r="O135" s="431"/>
      <c r="P135" s="431"/>
      <c r="Q135" s="431"/>
    </row>
    <row r="136" spans="1:17" s="247" customFormat="1" ht="15" x14ac:dyDescent="0.25">
      <c r="A136" s="249"/>
      <c r="B136" s="249"/>
      <c r="C136" s="249"/>
      <c r="D136" s="249"/>
      <c r="E136" s="259"/>
      <c r="F136" s="249"/>
      <c r="G136" s="249"/>
      <c r="H136" s="249"/>
      <c r="I136" s="249"/>
      <c r="J136" s="249"/>
      <c r="K136" s="431"/>
      <c r="L136" s="431"/>
      <c r="M136" s="431"/>
      <c r="N136" s="431"/>
      <c r="O136" s="431"/>
      <c r="P136" s="431"/>
      <c r="Q136" s="431"/>
    </row>
    <row r="137" spans="1:17" s="247" customFormat="1" ht="15" x14ac:dyDescent="0.25">
      <c r="A137" s="249"/>
      <c r="B137" s="249"/>
      <c r="C137" s="249"/>
      <c r="D137" s="249"/>
      <c r="E137" s="259"/>
      <c r="F137" s="249"/>
      <c r="G137" s="249"/>
      <c r="H137" s="249"/>
      <c r="I137" s="249"/>
      <c r="J137" s="249"/>
      <c r="K137" s="431"/>
      <c r="L137" s="431"/>
      <c r="M137" s="431"/>
      <c r="N137" s="431"/>
      <c r="O137" s="431"/>
      <c r="P137" s="431"/>
      <c r="Q137" s="431"/>
    </row>
    <row r="138" spans="1:17" s="247" customFormat="1" ht="15" x14ac:dyDescent="0.25">
      <c r="A138" s="249"/>
      <c r="B138" s="249"/>
      <c r="C138" s="249"/>
      <c r="D138" s="249"/>
      <c r="E138" s="259"/>
      <c r="F138" s="249"/>
      <c r="G138" s="249"/>
      <c r="H138" s="249"/>
      <c r="I138" s="249"/>
      <c r="J138" s="249"/>
      <c r="K138" s="431"/>
      <c r="L138" s="431"/>
      <c r="M138" s="431"/>
      <c r="N138" s="431"/>
      <c r="O138" s="431"/>
      <c r="P138" s="431"/>
      <c r="Q138" s="431"/>
    </row>
    <row r="139" spans="1:17" s="247" customFormat="1" ht="15" x14ac:dyDescent="0.25">
      <c r="A139" s="249"/>
      <c r="B139" s="249"/>
      <c r="C139" s="249"/>
      <c r="D139" s="249"/>
      <c r="E139" s="259"/>
      <c r="F139" s="249"/>
      <c r="G139" s="249"/>
      <c r="H139" s="249"/>
      <c r="I139" s="249"/>
      <c r="J139" s="249"/>
      <c r="K139" s="431"/>
      <c r="L139" s="431"/>
      <c r="M139" s="431"/>
      <c r="N139" s="431"/>
      <c r="O139" s="431"/>
      <c r="P139" s="431"/>
      <c r="Q139" s="431"/>
    </row>
    <row r="140" spans="1:17" s="247" customFormat="1" ht="15" x14ac:dyDescent="0.25">
      <c r="A140" s="249"/>
      <c r="B140" s="249"/>
      <c r="C140" s="249"/>
      <c r="D140" s="249"/>
      <c r="E140" s="259"/>
      <c r="F140" s="249"/>
      <c r="G140" s="249"/>
      <c r="H140" s="249"/>
      <c r="I140" s="249"/>
      <c r="J140" s="249"/>
      <c r="K140" s="431"/>
      <c r="L140" s="431"/>
      <c r="M140" s="431"/>
      <c r="N140" s="431"/>
      <c r="O140" s="431"/>
      <c r="P140" s="431"/>
      <c r="Q140" s="431"/>
    </row>
    <row r="141" spans="1:17" s="247" customFormat="1" ht="15" x14ac:dyDescent="0.25">
      <c r="A141" s="249"/>
      <c r="B141" s="249"/>
      <c r="C141" s="249"/>
      <c r="D141" s="249"/>
      <c r="E141" s="259"/>
      <c r="F141" s="249"/>
      <c r="G141" s="249"/>
      <c r="H141" s="249"/>
      <c r="I141" s="249"/>
      <c r="J141" s="249"/>
      <c r="K141" s="431"/>
      <c r="L141" s="431"/>
      <c r="M141" s="431"/>
      <c r="N141" s="431"/>
      <c r="O141" s="431"/>
      <c r="P141" s="431"/>
      <c r="Q141" s="431"/>
    </row>
    <row r="142" spans="1:17" s="247" customFormat="1" ht="15" x14ac:dyDescent="0.25">
      <c r="A142" s="249"/>
      <c r="B142" s="249"/>
      <c r="C142" s="249"/>
      <c r="D142" s="249"/>
      <c r="E142" s="259"/>
      <c r="F142" s="249"/>
      <c r="G142" s="249"/>
      <c r="H142" s="249"/>
      <c r="I142" s="249"/>
      <c r="J142" s="249"/>
      <c r="K142" s="431"/>
      <c r="L142" s="431"/>
      <c r="M142" s="431"/>
      <c r="N142" s="431"/>
      <c r="O142" s="431"/>
      <c r="P142" s="431"/>
      <c r="Q142" s="431"/>
    </row>
    <row r="143" spans="1:17" s="247" customFormat="1" ht="15" x14ac:dyDescent="0.25">
      <c r="A143" s="249"/>
      <c r="B143" s="249"/>
      <c r="C143" s="249"/>
      <c r="D143" s="249"/>
      <c r="E143" s="259"/>
      <c r="F143" s="249"/>
      <c r="G143" s="249"/>
      <c r="H143" s="249"/>
      <c r="I143" s="249"/>
      <c r="J143" s="249"/>
      <c r="K143" s="431"/>
      <c r="L143" s="431"/>
      <c r="M143" s="431"/>
      <c r="N143" s="431"/>
      <c r="O143" s="431"/>
      <c r="P143" s="431"/>
      <c r="Q143" s="431"/>
    </row>
    <row r="144" spans="1:17" s="247" customFormat="1" ht="15" x14ac:dyDescent="0.25">
      <c r="A144" s="249"/>
      <c r="B144" s="249"/>
      <c r="C144" s="249"/>
      <c r="D144" s="249"/>
      <c r="E144" s="259"/>
      <c r="F144" s="249"/>
      <c r="G144" s="249"/>
      <c r="H144" s="249"/>
      <c r="I144" s="249"/>
      <c r="J144" s="249"/>
      <c r="K144" s="431"/>
      <c r="L144" s="431"/>
      <c r="M144" s="431"/>
      <c r="N144" s="431"/>
      <c r="O144" s="431"/>
      <c r="P144" s="431"/>
      <c r="Q144" s="431"/>
    </row>
  </sheetData>
  <mergeCells count="37">
    <mergeCell ref="G1:J1"/>
    <mergeCell ref="D49:E49"/>
    <mergeCell ref="D55:E55"/>
    <mergeCell ref="D54:E54"/>
    <mergeCell ref="G6:G7"/>
    <mergeCell ref="D48:E48"/>
    <mergeCell ref="D35:E35"/>
    <mergeCell ref="E36:E37"/>
    <mergeCell ref="D40:E40"/>
    <mergeCell ref="D41:E41"/>
    <mergeCell ref="C99:I99"/>
    <mergeCell ref="D63:E63"/>
    <mergeCell ref="D64:E64"/>
    <mergeCell ref="E58:E59"/>
    <mergeCell ref="E60:E61"/>
    <mergeCell ref="F58:F59"/>
    <mergeCell ref="F60:F61"/>
    <mergeCell ref="E42:E46"/>
    <mergeCell ref="F13:F14"/>
    <mergeCell ref="A6:A7"/>
    <mergeCell ref="E6:E7"/>
    <mergeCell ref="C6:C7"/>
    <mergeCell ref="D6:D7"/>
    <mergeCell ref="D9:E9"/>
    <mergeCell ref="D10:E10"/>
    <mergeCell ref="B6:B7"/>
    <mergeCell ref="E13:E14"/>
    <mergeCell ref="I6:J6"/>
    <mergeCell ref="A2:J2"/>
    <mergeCell ref="F6:F7"/>
    <mergeCell ref="A3:B3"/>
    <mergeCell ref="H6:H7"/>
    <mergeCell ref="F42:F46"/>
    <mergeCell ref="E22:E24"/>
    <mergeCell ref="F22:F24"/>
    <mergeCell ref="D34:E34"/>
    <mergeCell ref="F36:F37"/>
  </mergeCells>
  <phoneticPr fontId="21" type="noConversion"/>
  <printOptions horizontalCentered="1"/>
  <pageMargins left="0.19685039370078741" right="0.19685039370078741" top="0.78740157480314965" bottom="0.39370078740157483" header="0.35433070866141736" footer="0.19685039370078741"/>
  <pageSetup paperSize="9" scale="75" fitToHeight="32" orientation="landscape" r:id="rId1"/>
  <headerFooter alignWithMargins="0">
    <oddFooter>&amp;C&amp;P</oddFooter>
  </headerFooter>
  <rowBreaks count="1" manualBreakCount="1">
    <brk id="3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дод.1</vt:lpstr>
      <vt:lpstr>дод.2</vt:lpstr>
      <vt:lpstr>дод.3</vt:lpstr>
      <vt:lpstr>дод.4</vt:lpstr>
      <vt:lpstr>дод.5</vt:lpstr>
      <vt:lpstr>дод.6</vt:lpstr>
      <vt:lpstr>дод.1!Заголовки_для_печати</vt:lpstr>
      <vt:lpstr>дод.3!Заголовки_для_печати</vt:lpstr>
      <vt:lpstr>дод.6!Заголовки_для_печати</vt:lpstr>
      <vt:lpstr>дод.1!Область_печати</vt:lpstr>
      <vt:lpstr>дод.2!Область_печати</vt:lpstr>
      <vt:lpstr>дод.3!Область_печати</vt:lpstr>
      <vt:lpstr>дод.4!Область_печати</vt:lpstr>
      <vt:lpstr>дод.5!Область_печати</vt:lpstr>
      <vt:lpstr>дод.6!Область_печати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Orgvid-1</cp:lastModifiedBy>
  <cp:lastPrinted>2020-02-03T13:09:57Z</cp:lastPrinted>
  <dcterms:created xsi:type="dcterms:W3CDTF">2014-01-17T10:52:16Z</dcterms:created>
  <dcterms:modified xsi:type="dcterms:W3CDTF">2020-02-03T15:19:41Z</dcterms:modified>
</cp:coreProperties>
</file>